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E\Interim Reports\2025\Q4\Till nätet\"/>
    </mc:Choice>
  </mc:AlternateContent>
  <xr:revisionPtr revIDLastSave="0" documentId="13_ncr:1_{064BB677-BD91-4C58-987B-378AA2F9714B}" xr6:coauthVersionLast="47" xr6:coauthVersionMax="47" xr10:uidLastSave="{00000000-0000-0000-0000-000000000000}"/>
  <bookViews>
    <workbookView xWindow="54495" yWindow="0" windowWidth="26010" windowHeight="20985" xr2:uid="{00000000-000D-0000-FFFF-FFFF00000000}"/>
  </bookViews>
  <sheets>
    <sheet name="Key-Figures" sheetId="1" r:id="rId1"/>
    <sheet name="Income-statement" sheetId="2" r:id="rId2"/>
    <sheet name="Balance-sheet" sheetId="3" r:id="rId3"/>
    <sheet name="Cash-flows" sheetId="4" r:id="rId4"/>
  </sheets>
  <externalReferences>
    <externalReference r:id="rId5"/>
  </externalReferences>
  <definedNames>
    <definedName name="LngSWE">[1]Admin!$Q$21</definedName>
    <definedName name="_xlnm.Print_Area" localSheetId="3">'Cash-flows'!$B$1:$S$52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R34" i="1"/>
  <c r="R33" i="1"/>
  <c r="Q34" i="1"/>
  <c r="Q33" i="1"/>
  <c r="P34" i="1"/>
  <c r="P33" i="1"/>
  <c r="O34" i="1"/>
  <c r="O33" i="1"/>
  <c r="N34" i="1"/>
  <c r="N33" i="1"/>
  <c r="M34" i="1"/>
  <c r="M33" i="1"/>
  <c r="L34" i="1"/>
  <c r="L33" i="1"/>
  <c r="K34" i="1"/>
  <c r="K33" i="1"/>
  <c r="J34" i="1"/>
  <c r="J33" i="1"/>
  <c r="I34" i="1"/>
  <c r="I33" i="1"/>
  <c r="R42" i="1"/>
  <c r="R41" i="1"/>
  <c r="R40" i="1"/>
  <c r="Q42" i="1"/>
  <c r="Q41" i="1"/>
  <c r="Q40" i="1"/>
  <c r="P42" i="1"/>
  <c r="P41" i="1"/>
  <c r="P40" i="1"/>
  <c r="O42" i="1"/>
  <c r="O41" i="1"/>
  <c r="O40" i="1"/>
  <c r="N42" i="1"/>
  <c r="N41" i="1"/>
  <c r="N40" i="1"/>
  <c r="M42" i="1"/>
  <c r="M41" i="1"/>
  <c r="M40" i="1"/>
  <c r="L42" i="1"/>
  <c r="L41" i="1"/>
  <c r="L40" i="1"/>
  <c r="K42" i="1"/>
  <c r="K41" i="1"/>
  <c r="K40" i="1"/>
  <c r="J42" i="1"/>
  <c r="J41" i="1"/>
  <c r="J40" i="1"/>
  <c r="I42" i="1"/>
  <c r="I41" i="1"/>
  <c r="I40" i="1"/>
  <c r="R21" i="1"/>
  <c r="Q21" i="1"/>
  <c r="P21" i="1"/>
  <c r="O21" i="1"/>
  <c r="N21" i="1"/>
  <c r="M21" i="1"/>
  <c r="L21" i="1"/>
  <c r="K21" i="1"/>
  <c r="J21" i="1"/>
  <c r="I21" i="1"/>
  <c r="R26" i="2" l="1"/>
  <c r="R25" i="2"/>
  <c r="Q26" i="2"/>
  <c r="Q25" i="2"/>
  <c r="P26" i="2"/>
  <c r="P25" i="2"/>
  <c r="O26" i="2"/>
  <c r="O25" i="2"/>
  <c r="N26" i="2"/>
  <c r="N25" i="2"/>
  <c r="M26" i="2"/>
  <c r="M25" i="2"/>
  <c r="L26" i="2"/>
  <c r="L25" i="2"/>
  <c r="K26" i="2"/>
  <c r="K25" i="2"/>
  <c r="J26" i="2"/>
  <c r="J25" i="2"/>
  <c r="I26" i="2"/>
  <c r="I25" i="2"/>
</calcChain>
</file>

<file path=xl/sharedStrings.xml><?xml version="1.0" encoding="utf-8"?>
<sst xmlns="http://schemas.openxmlformats.org/spreadsheetml/2006/main" count="476" uniqueCount="174">
  <si>
    <t xml:space="preserve"> </t>
  </si>
  <si>
    <t>Order bookings</t>
  </si>
  <si>
    <t>Order backlog at year-end</t>
  </si>
  <si>
    <t>Sales</t>
  </si>
  <si>
    <t>Foreign market sales, %</t>
  </si>
  <si>
    <t>Defence sales, %</t>
  </si>
  <si>
    <t>Operating income (EBIT)</t>
  </si>
  <si>
    <t>Operating margin, %</t>
  </si>
  <si>
    <t>EBITDA margin, %</t>
  </si>
  <si>
    <t>Income after financial items</t>
  </si>
  <si>
    <t>Net income for the year</t>
  </si>
  <si>
    <t>Total assets</t>
  </si>
  <si>
    <t>Net liquidity/debt</t>
  </si>
  <si>
    <t>Cash flow from operating activities</t>
  </si>
  <si>
    <t>Free cash flow</t>
  </si>
  <si>
    <t>Average capital employed</t>
  </si>
  <si>
    <t>Return on capital employed, %</t>
  </si>
  <si>
    <t>Return on equity, %</t>
  </si>
  <si>
    <t>Profit margin, %</t>
  </si>
  <si>
    <t>Capital turnover rate, multiple</t>
  </si>
  <si>
    <t>Equity/assets ratio, %</t>
  </si>
  <si>
    <t>Interest coverage ratio, multiple</t>
  </si>
  <si>
    <t>Gross capital expenditures for tangible fixed assets</t>
  </si>
  <si>
    <t>Research and development costs</t>
  </si>
  <si>
    <t>Number of employees at year-end</t>
  </si>
  <si>
    <t>Cost of goods sold</t>
  </si>
  <si>
    <t>Gross income</t>
  </si>
  <si>
    <t>Other operating income</t>
  </si>
  <si>
    <t>Marketing expenses</t>
  </si>
  <si>
    <t>Administrative expenses</t>
  </si>
  <si>
    <t>Other operating expenses</t>
  </si>
  <si>
    <t>Operating income</t>
  </si>
  <si>
    <t>Financial income</t>
  </si>
  <si>
    <t>Financial expenses</t>
  </si>
  <si>
    <t>Net financial items</t>
  </si>
  <si>
    <t>Income before taxes</t>
  </si>
  <si>
    <t>Taxes</t>
  </si>
  <si>
    <t>Attributable to:</t>
  </si>
  <si>
    <t>-</t>
  </si>
  <si>
    <t>MSEK</t>
  </si>
  <si>
    <t>ASSETS</t>
  </si>
  <si>
    <t>Fixed assets:</t>
  </si>
  <si>
    <t>Intangible fixed assets</t>
  </si>
  <si>
    <t>Tangible fixed assets</t>
  </si>
  <si>
    <t>Lease assets</t>
  </si>
  <si>
    <t>Biological assets</t>
  </si>
  <si>
    <t>Investment properties</t>
  </si>
  <si>
    <t>Shares in associated companies and joint ventures</t>
  </si>
  <si>
    <t>Financial investments</t>
  </si>
  <si>
    <t>Long-term receivables</t>
  </si>
  <si>
    <t>Deferred tax assets</t>
  </si>
  <si>
    <t>Total fixed assets</t>
  </si>
  <si>
    <t>Current assets:</t>
  </si>
  <si>
    <t>Inventories</t>
  </si>
  <si>
    <t>Derivatives</t>
  </si>
  <si>
    <t>Tax receivables</t>
  </si>
  <si>
    <t>Accounts receivable</t>
  </si>
  <si>
    <t>Other receivables</t>
  </si>
  <si>
    <t>Prepaid expenses and accrued income</t>
  </si>
  <si>
    <t>Short-term investments</t>
  </si>
  <si>
    <t>Liquid assets</t>
  </si>
  <si>
    <t>Total current assets</t>
  </si>
  <si>
    <t>Assets held for sale</t>
  </si>
  <si>
    <t>TOTAL ASSETS</t>
  </si>
  <si>
    <t>SHAREHOLDERS' EQUITY AND LIABILITIES</t>
  </si>
  <si>
    <t>Shareholders' equity:</t>
  </si>
  <si>
    <t>Parent Company's shareholders' interest</t>
  </si>
  <si>
    <t>Non-controlling interest</t>
  </si>
  <si>
    <t>Total shareholders' equity</t>
  </si>
  <si>
    <t>Long-term liabilities:</t>
  </si>
  <si>
    <t>Long-term interest-bearing liabilities</t>
  </si>
  <si>
    <t>Other liabilities</t>
  </si>
  <si>
    <t>Provisions for pensions</t>
  </si>
  <si>
    <t>Other provisions</t>
  </si>
  <si>
    <t>Deferred tax liabilities</t>
  </si>
  <si>
    <t>Total long-term liabilities</t>
  </si>
  <si>
    <t>Current liabilities:</t>
  </si>
  <si>
    <t>Short-term interest-bearing liabilities</t>
  </si>
  <si>
    <t>Accounts payable</t>
  </si>
  <si>
    <t>Tax liabilities</t>
  </si>
  <si>
    <t>Accrued expenses and deferred income</t>
  </si>
  <si>
    <t>Provisions</t>
  </si>
  <si>
    <t>Total current liabilities</t>
  </si>
  <si>
    <t>Total liabilities</t>
  </si>
  <si>
    <t>Operating activities:</t>
  </si>
  <si>
    <t>Adjustment for items not affecting cash flows</t>
  </si>
  <si>
    <t>Cash flow from operating activities before changes in working capital</t>
  </si>
  <si>
    <t>Cash flow from changes in working capital:</t>
  </si>
  <si>
    <t>Investing activities:</t>
  </si>
  <si>
    <t>Capitalised development costs</t>
  </si>
  <si>
    <t>Investments in tangible fixed assets</t>
  </si>
  <si>
    <t>Investments in lease assets</t>
  </si>
  <si>
    <t>Sale of lease assets</t>
  </si>
  <si>
    <t>Dividend from joint ventures</t>
  </si>
  <si>
    <t>Cash flow from investing activities</t>
  </si>
  <si>
    <t>Financing activities:</t>
  </si>
  <si>
    <t>Repayments of loans</t>
  </si>
  <si>
    <t>Raising of loans</t>
  </si>
  <si>
    <t>Repurchase of shares</t>
  </si>
  <si>
    <t>Dividend paid to Parent Company's shareholders</t>
  </si>
  <si>
    <t>Dividend paid to non-controlling interest</t>
  </si>
  <si>
    <t>Cash flow from financing activities</t>
  </si>
  <si>
    <t>Cash flow for the year</t>
  </si>
  <si>
    <t>Liquid assets at beginning of year</t>
  </si>
  <si>
    <t>Exchange rate difference in liquid assets</t>
  </si>
  <si>
    <t>Liquid assets at year-end</t>
  </si>
  <si>
    <t>Transferred to and establishment of pension fund</t>
  </si>
  <si>
    <t>Income tax paid</t>
  </si>
  <si>
    <t>Parent Company's shareholders</t>
  </si>
  <si>
    <t>Operating income before depreciation/amortisation and write-downs (EBITDA)</t>
  </si>
  <si>
    <t>Net income attributable to Parent 
Company's shareholders</t>
  </si>
  <si>
    <t>- of which total equity</t>
  </si>
  <si>
    <t>- of which equity attributable to Parent Company's shareholders</t>
  </si>
  <si>
    <t>Net liquidity/debt excluding interest-bearing receivables and net provisions for pensions</t>
  </si>
  <si>
    <t>⁵⁾ Net income less non-controlling interest divided by average number of shares.</t>
  </si>
  <si>
    <t>Key Figures</t>
  </si>
  <si>
    <t>Income statements</t>
  </si>
  <si>
    <t>Balance sheets</t>
  </si>
  <si>
    <t>Cash flow</t>
  </si>
  <si>
    <t>Income statement</t>
  </si>
  <si>
    <t>Balance sheet</t>
  </si>
  <si>
    <t>2016</t>
  </si>
  <si>
    <t>Investments in and sales of short-term investments</t>
  </si>
  <si>
    <t>Transactions with non-controlling interest</t>
  </si>
  <si>
    <t>2013</t>
  </si>
  <si>
    <t>Divident from associated companies and joint ventures</t>
  </si>
  <si>
    <t>2017</t>
  </si>
  <si>
    <t>Other current receivables</t>
  </si>
  <si>
    <t>Other current liabilities</t>
  </si>
  <si>
    <t>Contract assets and liabilities</t>
  </si>
  <si>
    <t>Investments in operations</t>
  </si>
  <si>
    <t>Sale of subsidiaries</t>
  </si>
  <si>
    <t>Sale of financial assets</t>
  </si>
  <si>
    <t>Investments in financial assets</t>
  </si>
  <si>
    <t>2018</t>
  </si>
  <si>
    <t>Rights issue</t>
  </si>
  <si>
    <t xml:space="preserve">Contract assets </t>
  </si>
  <si>
    <t>Contract liabilities</t>
  </si>
  <si>
    <t>Total shareholders' equity and liabilities</t>
  </si>
  <si>
    <t>2019</t>
  </si>
  <si>
    <t xml:space="preserve">Right of use assets </t>
  </si>
  <si>
    <t xml:space="preserve">Long-term lease liabilities </t>
  </si>
  <si>
    <t xml:space="preserve">Short-term lease liabilities </t>
  </si>
  <si>
    <t>Amortisation of lease liabilities</t>
  </si>
  <si>
    <t>Total Research and development expenditures</t>
  </si>
  <si>
    <t>2020</t>
  </si>
  <si>
    <t>2021</t>
  </si>
  <si>
    <t>Share in income of associated companies and joint ventures</t>
  </si>
  <si>
    <t>2022</t>
  </si>
  <si>
    <t>⁴⁾ Board of Directors' proposal</t>
  </si>
  <si>
    <t>Liabilities related to assets held for sale</t>
  </si>
  <si>
    <t>2023</t>
  </si>
  <si>
    <t>2024</t>
  </si>
  <si>
    <t>Long-term interest-bearing investments</t>
  </si>
  <si>
    <t>Investments in other intangible fixed assets</t>
  </si>
  <si>
    <t>Sale of subsidiaries and other operations</t>
  </si>
  <si>
    <t>⁶⁾ Comparison periods adjusted for share split 4:1</t>
  </si>
  <si>
    <r>
      <t xml:space="preserve">Earnings per share before dilution, SEK </t>
    </r>
    <r>
      <rPr>
        <sz val="10"/>
        <color indexed="8"/>
        <rFont val="Calibri"/>
        <family val="2"/>
      </rPr>
      <t>²⁾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Calibri"/>
        <family val="2"/>
      </rPr>
      <t>⁵⁾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Calibri"/>
        <family val="2"/>
      </rPr>
      <t>⁶⁾</t>
    </r>
  </si>
  <si>
    <r>
      <t xml:space="preserve">Earnings per share after dilution, SEK </t>
    </r>
    <r>
      <rPr>
        <sz val="10"/>
        <color indexed="8"/>
        <rFont val="Calibri"/>
        <family val="2"/>
      </rPr>
      <t>³⁾ ⁵⁾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Calibri"/>
        <family val="2"/>
      </rPr>
      <t>⁶⁾</t>
    </r>
  </si>
  <si>
    <t>¹⁾ Number of shares, excluding treasury shares, as of 31 December ⁶⁾</t>
  </si>
  <si>
    <t>²⁾ Average number of shares before dilution ⁶⁾</t>
  </si>
  <si>
    <t>³⁾ Average number of shares after dilution ⁶⁾</t>
  </si>
  <si>
    <r>
      <t xml:space="preserve">Equity per share, SEK </t>
    </r>
    <r>
      <rPr>
        <sz val="10"/>
        <color indexed="8"/>
        <rFont val="Calibri"/>
        <family val="2"/>
      </rPr>
      <t>¹⁾ ⁶⁾</t>
    </r>
  </si>
  <si>
    <t>Dividend, SEK⁴⁾</t>
  </si>
  <si>
    <t>2025</t>
  </si>
  <si>
    <t>1) Comparison periods adjusted for share split 4:1</t>
  </si>
  <si>
    <r>
      <t xml:space="preserve">Earnings per share before dilution (SEK) </t>
    </r>
    <r>
      <rPr>
        <vertAlign val="superscript"/>
        <sz val="10"/>
        <color theme="1"/>
        <rFont val="Arial"/>
        <family val="2"/>
      </rPr>
      <t>1)</t>
    </r>
  </si>
  <si>
    <r>
      <t xml:space="preserve">Earnings per share after dilution (SEK) </t>
    </r>
    <r>
      <rPr>
        <vertAlign val="superscript"/>
        <sz val="10"/>
        <color theme="1"/>
        <rFont val="Arial"/>
        <family val="2"/>
      </rPr>
      <t>1)</t>
    </r>
  </si>
  <si>
    <r>
      <t>Adjusted operating income</t>
    </r>
    <r>
      <rPr>
        <vertAlign val="superscript"/>
        <sz val="10"/>
        <color theme="1"/>
        <rFont val="Arial"/>
        <family val="2"/>
      </rPr>
      <t xml:space="preserve"> 7)</t>
    </r>
  </si>
  <si>
    <r>
      <rPr>
        <vertAlign val="superscript"/>
        <sz val="8"/>
        <color theme="1"/>
        <rFont val="Arial"/>
        <family val="2"/>
      </rPr>
      <t>7</t>
    </r>
    <r>
      <rPr>
        <sz val="10"/>
        <color theme="1"/>
        <rFont val="Arial"/>
        <family val="2"/>
      </rPr>
      <t>⁾ Items affecting comparability</t>
    </r>
  </si>
  <si>
    <r>
      <t xml:space="preserve">Adjusted operating margin </t>
    </r>
    <r>
      <rPr>
        <vertAlign val="superscript"/>
        <sz val="10"/>
        <color theme="1"/>
        <rFont val="Arial"/>
        <family val="2"/>
      </rPr>
      <t>7)</t>
    </r>
  </si>
  <si>
    <t>Adjusted operating income</t>
  </si>
  <si>
    <t>Sales and disposals of tangible and intangible fixed assets including biological assets</t>
  </si>
  <si>
    <t>2,40⁴⁾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</si>
</sst>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r&quot;_-;\-* #,##0.00\ &quot;kr&quot;_-;_-* &quot;-&quot;??\ &quot;kr&quot;_-;_-@_-"/>
    <numFmt numFmtId="164" formatCode="#,##0_j;\-#,##0_j;&quot;-&quot;_j;@_j"/>
    <numFmt numFmtId="165" formatCode="#,##0_j;\-#,##0_j;0_j;@_j"/>
    <numFmt numFmtId="166" formatCode="#,##0.00_j;\-#,##0.00_j;0.00_j;@_j"/>
    <numFmt numFmtId="167" formatCode="###0_j;\-###0_j;0_j;@_j"/>
    <numFmt numFmtId="168" formatCode="0.0"/>
    <numFmt numFmtId="169" formatCode="#,##0.0"/>
  </numFmts>
  <fonts count="21">
    <font>
      <sz val="10"/>
      <color theme="1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Frutiger LT Std 45 Light"/>
      <family val="2"/>
    </font>
    <font>
      <sz val="8"/>
      <name val="Arial"/>
      <family val="2"/>
    </font>
    <font>
      <b/>
      <sz val="8"/>
      <color indexed="8"/>
      <name val="Frutiger LT Std 45 Light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A7D00"/>
      <name val="Brödtext"/>
      <family val="2"/>
    </font>
    <font>
      <sz val="8"/>
      <name val="Cambria"/>
      <family val="2"/>
      <scheme val="major"/>
    </font>
    <font>
      <b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</font>
    <font>
      <vertAlign val="superscript"/>
      <sz val="10"/>
      <color theme="1"/>
      <name val="Arial"/>
      <family val="2"/>
    </font>
    <font>
      <vertAlign val="superscript"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8">
    <xf numFmtId="0" fontId="0" fillId="0" borderId="0">
      <alignment horizontal="right" vertical="top"/>
    </xf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4" fillId="4" borderId="4" applyNumberFormat="0" applyFont="0" applyAlignment="0" applyProtection="0"/>
    <xf numFmtId="0" fontId="11" fillId="5" borderId="5" applyNumberFormat="0" applyAlignment="0" applyProtection="0"/>
    <xf numFmtId="165" fontId="5" fillId="2" borderId="0" applyNumberFormat="0" applyFont="0" applyBorder="0" applyAlignment="0" applyProtection="0"/>
    <xf numFmtId="0" fontId="4" fillId="0" borderId="0"/>
    <xf numFmtId="0" fontId="12" fillId="0" borderId="0"/>
    <xf numFmtId="0" fontId="10" fillId="0" borderId="0"/>
    <xf numFmtId="0" fontId="10" fillId="0" borderId="0"/>
    <xf numFmtId="9" fontId="4" fillId="0" borderId="0" applyFont="0" applyFill="0" applyBorder="0" applyAlignment="0" applyProtection="0"/>
    <xf numFmtId="165" fontId="5" fillId="6" borderId="1" applyNumberFormat="0" applyFont="0" applyFill="0" applyAlignment="0" applyProtection="0">
      <alignment vertical="top"/>
    </xf>
    <xf numFmtId="0" fontId="13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164" fontId="6" fillId="3" borderId="0" applyFont="0" applyFill="0" applyBorder="0" applyAlignment="0" applyProtection="0"/>
    <xf numFmtId="166" fontId="12" fillId="3" borderId="0" applyFont="0" applyFill="0" applyBorder="0" applyAlignment="0" applyProtection="0">
      <alignment horizontal="right" vertical="center"/>
    </xf>
    <xf numFmtId="9" fontId="12" fillId="6" borderId="0" applyFont="0" applyFill="0" applyBorder="0" applyAlignment="0" applyProtection="0">
      <alignment horizontal="right" vertical="top"/>
    </xf>
    <xf numFmtId="0" fontId="12" fillId="0" borderId="0" applyNumberFormat="0" applyFill="0" applyBorder="0" applyAlignment="0" applyProtection="0"/>
    <xf numFmtId="49" fontId="3" fillId="0" borderId="2" applyFill="0" applyProtection="0">
      <alignment horizontal="right"/>
    </xf>
    <xf numFmtId="49" fontId="3" fillId="0" borderId="2" applyFill="0" applyProtection="0">
      <alignment horizontal="left"/>
    </xf>
    <xf numFmtId="3" fontId="13" fillId="0" borderId="3" applyNumberFormat="0" applyFill="0" applyAlignment="0" applyProtection="0">
      <alignment horizontal="right" vertical="top"/>
    </xf>
    <xf numFmtId="44" fontId="4" fillId="0" borderId="0" applyFont="0" applyFill="0" applyBorder="0" applyAlignment="0" applyProtection="0"/>
    <xf numFmtId="49" fontId="14" fillId="0" borderId="0" applyFill="0" applyBorder="0" applyProtection="0">
      <alignment horizontal="center"/>
    </xf>
    <xf numFmtId="167" fontId="7" fillId="6" borderId="0" applyFont="0" applyFill="0" applyBorder="0" applyAlignment="0" applyProtection="0">
      <alignment horizontal="right" vertical="top" wrapText="1"/>
    </xf>
  </cellStyleXfs>
  <cellXfs count="59">
    <xf numFmtId="0" fontId="0" fillId="0" borderId="0" xfId="0">
      <alignment horizontal="right" vertical="top"/>
    </xf>
    <xf numFmtId="0" fontId="2" fillId="0" borderId="0" xfId="27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 vertical="top"/>
    </xf>
    <xf numFmtId="0" fontId="13" fillId="0" borderId="0" xfId="26">
      <alignment horizontal="left"/>
    </xf>
    <xf numFmtId="49" fontId="0" fillId="0" borderId="0" xfId="0" applyNumberFormat="1" applyAlignment="1">
      <alignment horizontal="left" vertical="top"/>
    </xf>
    <xf numFmtId="49" fontId="15" fillId="0" borderId="2" xfId="0" applyNumberFormat="1" applyFont="1" applyBorder="1">
      <alignment horizontal="right" vertical="top"/>
    </xf>
    <xf numFmtId="49" fontId="4" fillId="0" borderId="2" xfId="32" applyFont="1">
      <alignment horizontal="right"/>
    </xf>
    <xf numFmtId="49" fontId="15" fillId="0" borderId="0" xfId="0" applyNumberFormat="1" applyFont="1" applyAlignment="1">
      <alignment horizontal="left" vertical="top"/>
    </xf>
    <xf numFmtId="49" fontId="0" fillId="0" borderId="0" xfId="0" applyNumberFormat="1">
      <alignment horizontal="right" vertical="top"/>
    </xf>
    <xf numFmtId="168" fontId="0" fillId="0" borderId="0" xfId="0" applyNumberFormat="1">
      <alignment horizontal="right" vertical="top"/>
    </xf>
    <xf numFmtId="49" fontId="0" fillId="0" borderId="2" xfId="0" applyNumberFormat="1" applyBorder="1">
      <alignment horizontal="right" vertical="top"/>
    </xf>
    <xf numFmtId="3" fontId="0" fillId="0" borderId="0" xfId="0" applyNumberFormat="1">
      <alignment horizontal="right" vertical="top"/>
    </xf>
    <xf numFmtId="3" fontId="0" fillId="0" borderId="0" xfId="0" quotePrefix="1" applyNumberFormat="1">
      <alignment horizontal="right" vertical="top"/>
    </xf>
    <xf numFmtId="2" fontId="0" fillId="0" borderId="0" xfId="0" applyNumberFormat="1">
      <alignment horizontal="right" vertical="top"/>
    </xf>
    <xf numFmtId="0" fontId="0" fillId="6" borderId="0" xfId="0" applyFill="1" applyAlignment="1">
      <alignment horizontal="left" vertical="top"/>
    </xf>
    <xf numFmtId="3" fontId="0" fillId="6" borderId="0" xfId="0" applyNumberFormat="1" applyFill="1">
      <alignment horizontal="right" vertical="top"/>
    </xf>
    <xf numFmtId="0" fontId="0" fillId="6" borderId="0" xfId="0" applyFill="1">
      <alignment horizontal="right" vertical="top"/>
    </xf>
    <xf numFmtId="0" fontId="0" fillId="6" borderId="0" xfId="0" applyFill="1" applyAlignment="1">
      <alignment horizontal="right"/>
    </xf>
    <xf numFmtId="3" fontId="0" fillId="6" borderId="0" xfId="0" applyNumberFormat="1" applyFill="1" applyAlignment="1">
      <alignment horizontal="right"/>
    </xf>
    <xf numFmtId="49" fontId="4" fillId="6" borderId="2" xfId="32" applyFont="1" applyFill="1">
      <alignment horizontal="right"/>
    </xf>
    <xf numFmtId="3" fontId="13" fillId="6" borderId="0" xfId="0" applyNumberFormat="1" applyFont="1" applyFill="1" applyAlignment="1">
      <alignment horizontal="center" vertical="top"/>
    </xf>
    <xf numFmtId="3" fontId="0" fillId="6" borderId="0" xfId="0" quotePrefix="1" applyNumberFormat="1" applyFill="1">
      <alignment horizontal="right" vertical="top"/>
    </xf>
    <xf numFmtId="3" fontId="0" fillId="6" borderId="0" xfId="0" applyNumberForma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 vertical="top"/>
    </xf>
    <xf numFmtId="3" fontId="16" fillId="0" borderId="0" xfId="0" applyNumberFormat="1" applyFont="1">
      <alignment horizontal="right" vertical="top"/>
    </xf>
    <xf numFmtId="0" fontId="16" fillId="0" borderId="0" xfId="0" applyFont="1">
      <alignment horizontal="right" vertical="top"/>
    </xf>
    <xf numFmtId="0" fontId="16" fillId="6" borderId="0" xfId="0" applyFont="1" applyFill="1" applyAlignment="1">
      <alignment horizontal="right"/>
    </xf>
    <xf numFmtId="0" fontId="16" fillId="6" borderId="0" xfId="0" applyFont="1" applyFill="1">
      <alignment horizontal="right" vertical="top"/>
    </xf>
    <xf numFmtId="3" fontId="4" fillId="6" borderId="0" xfId="0" applyNumberFormat="1" applyFont="1" applyFill="1">
      <alignment horizontal="right" vertical="top"/>
    </xf>
    <xf numFmtId="3" fontId="3" fillId="6" borderId="0" xfId="0" applyNumberFormat="1" applyFont="1" applyFill="1" applyAlignment="1">
      <alignment horizontal="center" vertical="top"/>
    </xf>
    <xf numFmtId="0" fontId="4" fillId="6" borderId="0" xfId="0" applyFont="1" applyFill="1" applyAlignment="1">
      <alignment horizontal="left" vertical="top"/>
    </xf>
    <xf numFmtId="3" fontId="4" fillId="6" borderId="0" xfId="0" applyNumberFormat="1" applyFont="1" applyFill="1" applyAlignment="1">
      <alignment horizontal="left" vertical="top"/>
    </xf>
    <xf numFmtId="0" fontId="4" fillId="6" borderId="0" xfId="0" applyFont="1" applyFill="1">
      <alignment horizontal="right" vertical="top"/>
    </xf>
    <xf numFmtId="3" fontId="4" fillId="0" borderId="0" xfId="0" applyNumberFormat="1" applyFont="1">
      <alignment horizontal="right" vertical="top"/>
    </xf>
    <xf numFmtId="168" fontId="4" fillId="0" borderId="0" xfId="0" applyNumberFormat="1" applyFont="1">
      <alignment horizontal="right" vertical="top"/>
    </xf>
    <xf numFmtId="2" fontId="4" fillId="0" borderId="0" xfId="0" applyNumberFormat="1" applyFont="1">
      <alignment horizontal="right" vertical="top"/>
    </xf>
    <xf numFmtId="0" fontId="4" fillId="0" borderId="0" xfId="0" applyFont="1">
      <alignment horizontal="right" vertical="top"/>
    </xf>
    <xf numFmtId="0" fontId="4" fillId="0" borderId="0" xfId="0" applyFont="1" applyAlignment="1">
      <alignment horizontal="right"/>
    </xf>
    <xf numFmtId="49" fontId="4" fillId="0" borderId="2" xfId="0" applyNumberFormat="1" applyFont="1" applyBorder="1">
      <alignment horizontal="right" vertical="top"/>
    </xf>
    <xf numFmtId="0" fontId="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49" fontId="17" fillId="0" borderId="0" xfId="0" applyNumberFormat="1" applyFont="1" applyAlignment="1">
      <alignment horizontal="left" vertical="top"/>
    </xf>
    <xf numFmtId="0" fontId="2" fillId="0" borderId="0" xfId="27" applyFont="1" applyAlignment="1">
      <alignment horizontal="right"/>
    </xf>
    <xf numFmtId="0" fontId="13" fillId="0" borderId="0" xfId="26" applyAlignment="1">
      <alignment horizontal="right"/>
    </xf>
    <xf numFmtId="0" fontId="6" fillId="0" borderId="0" xfId="0" applyFont="1">
      <alignment horizontal="right" vertical="top"/>
    </xf>
    <xf numFmtId="49" fontId="17" fillId="0" borderId="0" xfId="0" applyNumberFormat="1" applyFont="1">
      <alignment horizontal="right" vertical="top"/>
    </xf>
    <xf numFmtId="0" fontId="17" fillId="0" borderId="0" xfId="0" applyFont="1">
      <alignment horizontal="right" vertical="top"/>
    </xf>
    <xf numFmtId="169" fontId="0" fillId="0" borderId="0" xfId="0" applyNumberFormat="1">
      <alignment horizontal="right" vertical="top"/>
    </xf>
    <xf numFmtId="4" fontId="0" fillId="0" borderId="0" xfId="0" applyNumberFormat="1">
      <alignment horizontal="right" vertical="top"/>
    </xf>
    <xf numFmtId="49" fontId="15" fillId="0" borderId="0" xfId="0" applyNumberFormat="1" applyFont="1">
      <alignment horizontal="right" vertical="top"/>
    </xf>
    <xf numFmtId="2" fontId="16" fillId="0" borderId="0" xfId="0" applyNumberFormat="1" applyFont="1">
      <alignment horizontal="right" vertical="top"/>
    </xf>
    <xf numFmtId="2" fontId="16" fillId="0" borderId="0" xfId="0" applyNumberFormat="1" applyFont="1" applyAlignment="1">
      <alignment horizontal="right"/>
    </xf>
    <xf numFmtId="2" fontId="4" fillId="0" borderId="0" xfId="0" quotePrefix="1" applyNumberFormat="1" applyFont="1">
      <alignment horizontal="right" vertical="top"/>
    </xf>
    <xf numFmtId="4" fontId="0" fillId="0" borderId="0" xfId="0" quotePrefix="1" applyNumberFormat="1">
      <alignment horizontal="right" vertical="top"/>
    </xf>
    <xf numFmtId="2" fontId="8" fillId="0" borderId="0" xfId="0" applyNumberFormat="1" applyFont="1">
      <alignment horizontal="right" vertical="top"/>
    </xf>
    <xf numFmtId="4" fontId="0" fillId="0" borderId="0" xfId="0" applyNumberFormat="1" applyFill="1">
      <alignment horizontal="right" vertical="top"/>
    </xf>
  </cellXfs>
  <cellStyles count="38">
    <cellStyle name="Anteckning 10" xfId="1" xr:uid="{00000000-0005-0000-0000-000000000000}"/>
    <cellStyle name="Anteckning 11" xfId="2" xr:uid="{00000000-0005-0000-0000-000001000000}"/>
    <cellStyle name="Anteckning 12" xfId="3" xr:uid="{00000000-0005-0000-0000-000002000000}"/>
    <cellStyle name="Anteckning 13" xfId="4" xr:uid="{00000000-0005-0000-0000-000003000000}"/>
    <cellStyle name="Anteckning 14" xfId="5" xr:uid="{00000000-0005-0000-0000-000004000000}"/>
    <cellStyle name="Anteckning 15" xfId="6" xr:uid="{00000000-0005-0000-0000-000005000000}"/>
    <cellStyle name="Anteckning 16" xfId="7" xr:uid="{00000000-0005-0000-0000-000006000000}"/>
    <cellStyle name="Anteckning 17" xfId="8" xr:uid="{00000000-0005-0000-0000-000007000000}"/>
    <cellStyle name="Anteckning 18" xfId="9" xr:uid="{00000000-0005-0000-0000-000008000000}"/>
    <cellStyle name="Anteckning 2" xfId="10" xr:uid="{00000000-0005-0000-0000-000009000000}"/>
    <cellStyle name="Anteckning 3" xfId="11" xr:uid="{00000000-0005-0000-0000-00000A000000}"/>
    <cellStyle name="Anteckning 4" xfId="12" xr:uid="{00000000-0005-0000-0000-00000B000000}"/>
    <cellStyle name="Anteckning 5" xfId="13" xr:uid="{00000000-0005-0000-0000-00000C000000}"/>
    <cellStyle name="Anteckning 6" xfId="14" xr:uid="{00000000-0005-0000-0000-00000D000000}"/>
    <cellStyle name="Anteckning 7" xfId="15" xr:uid="{00000000-0005-0000-0000-00000E000000}"/>
    <cellStyle name="Anteckning 8" xfId="16" xr:uid="{00000000-0005-0000-0000-00000F000000}"/>
    <cellStyle name="Anteckning 9" xfId="17" xr:uid="{00000000-0005-0000-0000-000010000000}"/>
    <cellStyle name="Beräkning 2" xfId="18" xr:uid="{00000000-0005-0000-0000-000011000000}"/>
    <cellStyle name="Grå" xfId="19" xr:uid="{00000000-0005-0000-0000-000012000000}"/>
    <cellStyle name="Normal" xfId="0" builtinId="0"/>
    <cellStyle name="Normal 2" xfId="20" xr:uid="{00000000-0005-0000-0000-000014000000}"/>
    <cellStyle name="Normal 3" xfId="21" xr:uid="{00000000-0005-0000-0000-000015000000}"/>
    <cellStyle name="Normal 3 2" xfId="22" xr:uid="{00000000-0005-0000-0000-000016000000}"/>
    <cellStyle name="Normal 3 3" xfId="23" xr:uid="{00000000-0005-0000-0000-000017000000}"/>
    <cellStyle name="Procent 2" xfId="24" xr:uid="{00000000-0005-0000-0000-000018000000}"/>
    <cellStyle name="Streck" xfId="25" xr:uid="{00000000-0005-0000-0000-000019000000}"/>
    <cellStyle name="Subheading" xfId="26" xr:uid="{00000000-0005-0000-0000-00001A000000}"/>
    <cellStyle name="tableheading" xfId="27" xr:uid="{00000000-0005-0000-0000-00001B000000}"/>
    <cellStyle name="TAL (1 100)" xfId="28" xr:uid="{00000000-0005-0000-0000-00001C000000}"/>
    <cellStyle name="Tal (1 100,00)" xfId="29" xr:uid="{00000000-0005-0000-0000-00001D000000}"/>
    <cellStyle name="Tal (100%)" xfId="30" xr:uid="{00000000-0005-0000-0000-00001E000000}"/>
    <cellStyle name="Text" xfId="31" xr:uid="{00000000-0005-0000-0000-00001F000000}"/>
    <cellStyle name="th" xfId="32" xr:uid="{00000000-0005-0000-0000-000020000000}"/>
    <cellStyle name="th-left" xfId="33" xr:uid="{00000000-0005-0000-0000-000021000000}"/>
    <cellStyle name="tr-sum" xfId="34" xr:uid="{00000000-0005-0000-0000-000022000000}"/>
    <cellStyle name="Valuta 2" xfId="35" xr:uid="{00000000-0005-0000-0000-000023000000}"/>
    <cellStyle name="Yeargroup" xfId="36" xr:uid="{00000000-0005-0000-0000-000024000000}"/>
    <cellStyle name="år" xfId="37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aabgroup.com/Billerud/Ekonomi/Del&#229;rsrapporter/2012/Q2%202012/Excel%20tabeller%20Q2%2020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y"/>
      <sheetName val="Admin"/>
      <sheetName val="Tabell första sidan Q1 (pub)"/>
      <sheetName val="Tabell första sidan  Q2-4 (pub)"/>
      <sheetName val="Tabell första sidan (inm)"/>
      <sheetName val="Volymer (pub)"/>
      <sheetName val="Volymer (inm)"/>
      <sheetName val="Avvikelseanalys föreg Q (pub)"/>
      <sheetName val="Avvikelseanalys föreg Q (inm)"/>
      <sheetName val="Produktområde (pub)"/>
      <sheetName val="Produktområde (inm)"/>
      <sheetName val="Avvikelseanalys mot fg år (pub)"/>
      <sheetName val="Avvikelseanalys mot fg år (inm)"/>
      <sheetName val="AO Q1 (pub)"/>
      <sheetName val="AO Q1 (inm)"/>
      <sheetName val="AO Q2 &amp; Q3 (pub)"/>
      <sheetName val="AO Q2 &amp; Q3 (inm)"/>
      <sheetName val="AO Q4 (pub)"/>
      <sheetName val="AO Q4 (inm)"/>
      <sheetName val="AO underlag (inm)"/>
      <sheetName val="Valutasäkring ML (pub)"/>
      <sheetName val="Valutasäkring ML (inm)"/>
      <sheetName val="Kassaflöde kort (pub)"/>
      <sheetName val="Kassaflöde kort (inm)"/>
      <sheetName val="Säsongseffekter (pub)"/>
      <sheetName val="Säsongseffekter (inm)"/>
      <sheetName val="Aktieägare SA (pub)"/>
      <sheetName val="Aktieägare SA (inm)"/>
      <sheetName val="RR, tot res, EK Q1 (pub)"/>
      <sheetName val="RR, tot res, EK Q1 (inm)"/>
      <sheetName val="RR, tot res, EK Q2 Q3 (pub)"/>
      <sheetName val="RR, tot res, EK Q2 Q3 (inm)"/>
      <sheetName val="RR, tot res, EK Q4 (pub)"/>
      <sheetName val="RR, tot res, EK Q4 (inm)"/>
      <sheetName val="RR Tot res EK underlag (inm)"/>
      <sheetName val=" BR, KF Q1 (pub)"/>
      <sheetName val=" BR, KF Q1 (inm)"/>
      <sheetName val=" BR, KF Q2, Q3 (pub)"/>
      <sheetName val=" BR, KF Q2, Q3 (inm)"/>
      <sheetName val=" BR, KF Q4 (pub)"/>
      <sheetName val=" BR, KF Q4 (inm)"/>
      <sheetName val="BR, KF Underlag (inm)"/>
      <sheetName val="Nyckeltal Q1, Q2, Q3 (pub)"/>
      <sheetName val="Nyckeltal Q1, Q2, Q3 (inm)"/>
      <sheetName val="Nyckeltal Q4 (pub)"/>
      <sheetName val="Nyckeltal Q4 (inm)"/>
      <sheetName val="Avkastning (dia)"/>
      <sheetName val="ND-E (dia)"/>
      <sheetName val="Nyckeltal Underlag (inm)"/>
      <sheetName val="8 kvartal (pub)"/>
      <sheetName val="8 kvartal (inm)"/>
      <sheetName val="MB Q1 (pub)"/>
      <sheetName val="MB Q1 (inm)"/>
      <sheetName val="MB Q2, Q3 (pub)"/>
      <sheetName val="MB Q2, Q3 (inm)"/>
      <sheetName val="MB Q4 (pub)"/>
      <sheetName val="MB Q4 (inm)"/>
      <sheetName val="MB underlag (inm)"/>
      <sheetName val="Affärsområden per Q1 (pub)"/>
      <sheetName val="Affärsområden per Q2-4 (pub)"/>
      <sheetName val="Oms underlag (dia)"/>
      <sheetName val="EBIT underlag (dia)"/>
      <sheetName val="Affärsområden per Q (inm)"/>
      <sheetName val="Löptext (inm)"/>
    </sheetNames>
    <sheetDataSet>
      <sheetData sheetId="0" refreshError="1"/>
      <sheetData sheetId="1" refreshError="1">
        <row r="21">
          <cell r="Q21" t="b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outlinePr summaryBelow="0" summaryRight="0"/>
    <pageSetUpPr fitToPage="1"/>
  </sheetPr>
  <dimension ref="A1:S53"/>
  <sheetViews>
    <sheetView showGridLines="0" tabSelected="1" topLeftCell="B1" zoomScale="130" zoomScaleNormal="130" workbookViewId="0">
      <pane ySplit="3" topLeftCell="A4" activePane="bottomLeft" state="frozen"/>
      <selection activeCell="C4" sqref="C4"/>
      <selection pane="bottomLeft" activeCell="B27" sqref="B27"/>
    </sheetView>
  </sheetViews>
  <sheetFormatPr defaultRowHeight="12.5"/>
  <cols>
    <col min="1" max="1" width="9.1796875" hidden="1" customWidth="1"/>
    <col min="2" max="2" width="75.7265625" style="3" customWidth="1"/>
    <col min="3" max="7" width="11.1796875" customWidth="1"/>
    <col min="8" max="8" width="11.1796875" style="3" customWidth="1"/>
    <col min="9" max="10" width="11.1796875" style="25" bestFit="1" customWidth="1"/>
    <col min="11" max="19" width="11.1796875" style="2" bestFit="1" customWidth="1"/>
  </cols>
  <sheetData>
    <row r="1" spans="2:19" ht="23.25" customHeight="1">
      <c r="B1" s="1" t="s">
        <v>115</v>
      </c>
      <c r="C1" s="45"/>
      <c r="D1" s="45"/>
      <c r="E1" s="45"/>
      <c r="F1" s="45"/>
      <c r="G1" s="45"/>
      <c r="H1" s="1"/>
    </row>
    <row r="2" spans="2:19" ht="23.25" customHeight="1">
      <c r="B2" s="4" t="s">
        <v>115</v>
      </c>
      <c r="C2" s="46"/>
      <c r="D2" s="46"/>
      <c r="E2" s="46"/>
      <c r="F2" s="46"/>
      <c r="G2" s="46"/>
      <c r="H2" s="4"/>
      <c r="O2" s="2" t="s">
        <v>0</v>
      </c>
      <c r="P2" s="2" t="s">
        <v>0</v>
      </c>
      <c r="Q2" s="2" t="s">
        <v>0</v>
      </c>
    </row>
    <row r="3" spans="2:19" s="7" customFormat="1">
      <c r="B3" s="5" t="s">
        <v>39</v>
      </c>
      <c r="C3" s="9" t="s">
        <v>164</v>
      </c>
      <c r="D3" s="9" t="s">
        <v>152</v>
      </c>
      <c r="E3" s="9" t="s">
        <v>151</v>
      </c>
      <c r="F3" s="9" t="s">
        <v>148</v>
      </c>
      <c r="G3" s="9" t="s">
        <v>146</v>
      </c>
      <c r="H3" s="7" t="s">
        <v>145</v>
      </c>
      <c r="I3" s="7" t="s">
        <v>139</v>
      </c>
      <c r="J3" s="7" t="s">
        <v>134</v>
      </c>
      <c r="K3" s="7" t="s">
        <v>126</v>
      </c>
      <c r="L3" s="7" t="s">
        <v>121</v>
      </c>
      <c r="M3" s="7">
        <v>2015</v>
      </c>
      <c r="N3" s="7">
        <v>2014</v>
      </c>
      <c r="O3" s="6" t="s">
        <v>124</v>
      </c>
      <c r="P3" s="7">
        <v>2012</v>
      </c>
      <c r="Q3" s="7">
        <v>2011</v>
      </c>
      <c r="R3" s="7">
        <v>2010</v>
      </c>
    </row>
    <row r="4" spans="2:19" ht="12.75" customHeight="1">
      <c r="B4" s="3" t="s">
        <v>1</v>
      </c>
      <c r="C4" s="12">
        <v>168519</v>
      </c>
      <c r="D4" s="12">
        <v>96798</v>
      </c>
      <c r="E4" s="12">
        <v>77811</v>
      </c>
      <c r="F4" s="12">
        <v>63116</v>
      </c>
      <c r="G4" s="12">
        <v>43569</v>
      </c>
      <c r="H4" s="36">
        <v>42328</v>
      </c>
      <c r="I4" s="36">
        <v>27216</v>
      </c>
      <c r="J4" s="36">
        <v>27975</v>
      </c>
      <c r="K4" s="36">
        <v>30841</v>
      </c>
      <c r="L4" s="12">
        <v>21828</v>
      </c>
      <c r="M4" s="12">
        <v>81175</v>
      </c>
      <c r="N4" s="12">
        <v>22602</v>
      </c>
      <c r="O4" s="12">
        <v>49809</v>
      </c>
      <c r="P4" s="12">
        <v>20683</v>
      </c>
      <c r="Q4" s="12">
        <v>18907</v>
      </c>
      <c r="R4" s="12">
        <v>26278</v>
      </c>
      <c r="S4" s="12"/>
    </row>
    <row r="5" spans="2:19" ht="12.75" customHeight="1">
      <c r="B5" s="3" t="s">
        <v>2</v>
      </c>
      <c r="C5" s="12">
        <v>274532</v>
      </c>
      <c r="D5" s="12">
        <v>187223</v>
      </c>
      <c r="E5" s="12">
        <v>153409</v>
      </c>
      <c r="F5" s="12">
        <v>127676</v>
      </c>
      <c r="G5" s="12">
        <v>105177</v>
      </c>
      <c r="H5" s="36">
        <v>99816</v>
      </c>
      <c r="I5" s="36">
        <v>93293</v>
      </c>
      <c r="J5" s="36">
        <v>102184</v>
      </c>
      <c r="K5" s="36">
        <v>107233</v>
      </c>
      <c r="L5" s="12">
        <v>107606</v>
      </c>
      <c r="M5" s="12">
        <v>113834</v>
      </c>
      <c r="N5" s="12">
        <v>60128</v>
      </c>
      <c r="O5" s="12">
        <v>59870</v>
      </c>
      <c r="P5" s="12">
        <v>34151</v>
      </c>
      <c r="Q5" s="12">
        <v>37172</v>
      </c>
      <c r="R5" s="12">
        <v>41459</v>
      </c>
      <c r="S5" s="12"/>
    </row>
    <row r="6" spans="2:19" ht="12.75" customHeight="1">
      <c r="B6" s="3" t="s">
        <v>3</v>
      </c>
      <c r="C6" s="12">
        <v>79146</v>
      </c>
      <c r="D6" s="12">
        <v>63751</v>
      </c>
      <c r="E6" s="12">
        <v>51609</v>
      </c>
      <c r="F6" s="12">
        <v>42006</v>
      </c>
      <c r="G6" s="12">
        <v>39154</v>
      </c>
      <c r="H6" s="36">
        <v>35431</v>
      </c>
      <c r="I6" s="36">
        <v>35433</v>
      </c>
      <c r="J6" s="36">
        <v>33156</v>
      </c>
      <c r="K6" s="36">
        <v>31666</v>
      </c>
      <c r="L6" s="12">
        <v>28631</v>
      </c>
      <c r="M6" s="12">
        <v>27186</v>
      </c>
      <c r="N6" s="12">
        <v>23527</v>
      </c>
      <c r="O6" s="12">
        <v>23750</v>
      </c>
      <c r="P6" s="12">
        <v>24010</v>
      </c>
      <c r="Q6" s="12">
        <v>23498</v>
      </c>
      <c r="R6" s="12">
        <v>24434</v>
      </c>
      <c r="S6" s="12"/>
    </row>
    <row r="7" spans="2:19" ht="12.75" customHeight="1">
      <c r="B7" s="3" t="s">
        <v>4</v>
      </c>
      <c r="C7" s="36">
        <v>59</v>
      </c>
      <c r="D7" s="36">
        <v>59</v>
      </c>
      <c r="E7" s="36">
        <v>58</v>
      </c>
      <c r="F7" s="36">
        <v>58</v>
      </c>
      <c r="G7" s="12">
        <v>62</v>
      </c>
      <c r="H7" s="36">
        <v>64</v>
      </c>
      <c r="I7" s="36">
        <v>63</v>
      </c>
      <c r="J7" s="36">
        <v>59</v>
      </c>
      <c r="K7" s="36">
        <v>58</v>
      </c>
      <c r="L7" s="12">
        <v>57</v>
      </c>
      <c r="M7" s="12">
        <v>58</v>
      </c>
      <c r="N7" s="12">
        <v>55</v>
      </c>
      <c r="O7" s="12">
        <v>59</v>
      </c>
      <c r="P7" s="12">
        <v>64</v>
      </c>
      <c r="Q7" s="12">
        <v>63</v>
      </c>
      <c r="R7" s="12">
        <v>62</v>
      </c>
      <c r="S7" s="12"/>
    </row>
    <row r="8" spans="2:19" ht="12.75" customHeight="1">
      <c r="B8" s="3" t="s">
        <v>5</v>
      </c>
      <c r="C8" s="36">
        <v>93</v>
      </c>
      <c r="D8" s="36">
        <v>92</v>
      </c>
      <c r="E8" s="36">
        <v>90</v>
      </c>
      <c r="F8" s="36">
        <v>89</v>
      </c>
      <c r="G8" s="36">
        <v>92</v>
      </c>
      <c r="H8" s="36">
        <v>91</v>
      </c>
      <c r="I8" s="36">
        <v>85</v>
      </c>
      <c r="J8" s="36">
        <v>85</v>
      </c>
      <c r="K8" s="36">
        <v>84</v>
      </c>
      <c r="L8" s="12">
        <v>83</v>
      </c>
      <c r="M8" s="12">
        <v>82</v>
      </c>
      <c r="N8" s="12">
        <v>79</v>
      </c>
      <c r="O8" s="12">
        <v>81</v>
      </c>
      <c r="P8" s="12">
        <v>82</v>
      </c>
      <c r="Q8" s="12">
        <v>84</v>
      </c>
      <c r="R8" s="12">
        <v>83</v>
      </c>
      <c r="S8" s="12"/>
    </row>
    <row r="9" spans="2:19" ht="12.75" customHeight="1">
      <c r="B9" s="3" t="s">
        <v>6</v>
      </c>
      <c r="C9" s="12">
        <v>8066</v>
      </c>
      <c r="D9" s="12">
        <v>5662</v>
      </c>
      <c r="E9" s="12">
        <v>4272</v>
      </c>
      <c r="F9" s="12">
        <v>3274</v>
      </c>
      <c r="G9" s="12">
        <v>2888</v>
      </c>
      <c r="H9" s="36">
        <v>1315</v>
      </c>
      <c r="I9" s="36">
        <v>2937</v>
      </c>
      <c r="J9" s="36">
        <v>2266</v>
      </c>
      <c r="K9" s="36">
        <v>2250</v>
      </c>
      <c r="L9" s="12">
        <v>1797</v>
      </c>
      <c r="M9" s="12">
        <v>1900</v>
      </c>
      <c r="N9" s="12">
        <v>1659</v>
      </c>
      <c r="O9" s="12">
        <v>1345</v>
      </c>
      <c r="P9" s="12">
        <v>2050</v>
      </c>
      <c r="Q9" s="12">
        <v>2941</v>
      </c>
      <c r="R9" s="12">
        <v>975</v>
      </c>
      <c r="S9" s="12"/>
    </row>
    <row r="10" spans="2:19" ht="12.75" customHeight="1">
      <c r="B10" s="3" t="s">
        <v>7</v>
      </c>
      <c r="C10" s="50">
        <v>10.199999999999999</v>
      </c>
      <c r="D10" s="50">
        <v>8.9</v>
      </c>
      <c r="E10" s="50">
        <v>8.3000000000000007</v>
      </c>
      <c r="F10" s="50">
        <v>7.8</v>
      </c>
      <c r="G10" s="50">
        <v>7.4</v>
      </c>
      <c r="H10" s="37">
        <v>3.7</v>
      </c>
      <c r="I10" s="37">
        <v>8.3000000000000007</v>
      </c>
      <c r="J10" s="37">
        <v>6.8</v>
      </c>
      <c r="K10" s="37">
        <v>7.1</v>
      </c>
      <c r="L10" s="10">
        <v>6.3</v>
      </c>
      <c r="M10" s="10">
        <v>7</v>
      </c>
      <c r="N10" s="10">
        <v>7.1</v>
      </c>
      <c r="O10" s="10">
        <v>5.7</v>
      </c>
      <c r="P10" s="10">
        <v>8.5</v>
      </c>
      <c r="Q10" s="10">
        <v>12.5</v>
      </c>
      <c r="R10" s="10">
        <v>4</v>
      </c>
      <c r="S10" s="10"/>
    </row>
    <row r="11" spans="2:19" ht="12.75" customHeight="1">
      <c r="B11" s="3" t="s">
        <v>168</v>
      </c>
      <c r="C11" s="12">
        <v>7730</v>
      </c>
      <c r="D11" s="50"/>
      <c r="E11" s="50"/>
      <c r="F11" s="50"/>
      <c r="G11" s="50"/>
      <c r="H11" s="12">
        <v>2738</v>
      </c>
      <c r="I11" s="37"/>
      <c r="J11" s="37"/>
      <c r="K11" s="37"/>
      <c r="L11" s="10"/>
      <c r="M11" s="10"/>
      <c r="N11" s="10"/>
      <c r="O11" s="10"/>
      <c r="P11" s="10"/>
      <c r="Q11" s="10"/>
      <c r="R11" s="10"/>
      <c r="S11" s="10"/>
    </row>
    <row r="12" spans="2:19" ht="12.75" customHeight="1">
      <c r="B12" s="3" t="s">
        <v>170</v>
      </c>
      <c r="C12" s="50">
        <v>9.8000000000000007</v>
      </c>
      <c r="D12" s="50"/>
      <c r="E12" s="50"/>
      <c r="F12" s="50"/>
      <c r="G12" s="50"/>
      <c r="H12" s="50">
        <v>7.4</v>
      </c>
      <c r="I12" s="37"/>
      <c r="J12" s="37"/>
      <c r="K12" s="37"/>
      <c r="L12" s="10"/>
      <c r="M12" s="10"/>
      <c r="N12" s="10"/>
      <c r="O12" s="10"/>
      <c r="P12" s="10"/>
      <c r="Q12" s="10"/>
      <c r="R12" s="10"/>
      <c r="S12" s="10"/>
    </row>
    <row r="13" spans="2:19" ht="12.75" customHeight="1">
      <c r="B13" s="3" t="s">
        <v>109</v>
      </c>
      <c r="C13" s="12">
        <v>11347</v>
      </c>
      <c r="D13" s="12">
        <v>8402</v>
      </c>
      <c r="E13" s="12">
        <v>6558</v>
      </c>
      <c r="F13" s="12">
        <v>5401</v>
      </c>
      <c r="G13" s="12">
        <v>4826</v>
      </c>
      <c r="H13" s="36">
        <v>2833</v>
      </c>
      <c r="I13" s="36">
        <v>4305</v>
      </c>
      <c r="J13" s="36">
        <v>3182</v>
      </c>
      <c r="K13" s="36">
        <v>3089</v>
      </c>
      <c r="L13" s="12">
        <v>2743</v>
      </c>
      <c r="M13" s="12">
        <v>2859</v>
      </c>
      <c r="N13" s="12">
        <v>2523</v>
      </c>
      <c r="O13" s="12">
        <v>2367</v>
      </c>
      <c r="P13" s="12">
        <v>3168</v>
      </c>
      <c r="Q13" s="12">
        <v>4088</v>
      </c>
      <c r="R13" s="12">
        <v>2187</v>
      </c>
      <c r="S13" s="12"/>
    </row>
    <row r="14" spans="2:19" ht="12.75" customHeight="1">
      <c r="B14" s="3" t="s">
        <v>8</v>
      </c>
      <c r="C14" s="50">
        <v>14.3</v>
      </c>
      <c r="D14" s="50">
        <v>13.2</v>
      </c>
      <c r="E14" s="50">
        <v>12.7</v>
      </c>
      <c r="F14" s="50">
        <v>12.9</v>
      </c>
      <c r="G14" s="50">
        <v>12.3</v>
      </c>
      <c r="H14" s="37">
        <v>8</v>
      </c>
      <c r="I14" s="37">
        <v>12.1</v>
      </c>
      <c r="J14" s="37">
        <v>9.6</v>
      </c>
      <c r="K14" s="37">
        <v>9.8000000000000007</v>
      </c>
      <c r="L14" s="10">
        <v>9.6</v>
      </c>
      <c r="M14" s="10">
        <v>10.5</v>
      </c>
      <c r="N14" s="10">
        <v>10.7</v>
      </c>
      <c r="O14" s="10">
        <v>10</v>
      </c>
      <c r="P14" s="10">
        <v>13.3</v>
      </c>
      <c r="Q14" s="10">
        <v>17.399999999999999</v>
      </c>
      <c r="R14" s="10">
        <v>9</v>
      </c>
      <c r="S14" s="10"/>
    </row>
    <row r="15" spans="2:19" ht="12.75" customHeight="1">
      <c r="B15" s="3" t="s">
        <v>9</v>
      </c>
      <c r="C15" s="12">
        <v>8019</v>
      </c>
      <c r="D15" s="12">
        <v>5289</v>
      </c>
      <c r="E15" s="12">
        <v>4418</v>
      </c>
      <c r="F15" s="12">
        <v>2819</v>
      </c>
      <c r="G15" s="12">
        <v>2577</v>
      </c>
      <c r="H15" s="36">
        <v>1112</v>
      </c>
      <c r="I15" s="36">
        <v>2607</v>
      </c>
      <c r="J15" s="36">
        <v>1796</v>
      </c>
      <c r="K15" s="36">
        <v>2099</v>
      </c>
      <c r="L15" s="12">
        <v>1611</v>
      </c>
      <c r="M15" s="12">
        <v>1731</v>
      </c>
      <c r="N15" s="12">
        <v>1523</v>
      </c>
      <c r="O15" s="12">
        <v>979</v>
      </c>
      <c r="P15" s="12">
        <v>2003</v>
      </c>
      <c r="Q15" s="12">
        <v>2783</v>
      </c>
      <c r="R15" s="12">
        <v>776</v>
      </c>
      <c r="S15" s="12"/>
    </row>
    <row r="16" spans="2:19" ht="12.75" customHeight="1">
      <c r="B16" s="3" t="s">
        <v>10</v>
      </c>
      <c r="C16" s="12">
        <v>6356</v>
      </c>
      <c r="D16" s="12">
        <v>4210</v>
      </c>
      <c r="E16" s="12">
        <v>3443</v>
      </c>
      <c r="F16" s="12">
        <v>2283</v>
      </c>
      <c r="G16" s="12">
        <v>2025</v>
      </c>
      <c r="H16" s="36">
        <v>1092</v>
      </c>
      <c r="I16" s="36">
        <v>2025</v>
      </c>
      <c r="J16" s="36">
        <v>1366</v>
      </c>
      <c r="K16" s="36">
        <v>1508</v>
      </c>
      <c r="L16" s="12">
        <v>1175</v>
      </c>
      <c r="M16" s="12">
        <v>1402</v>
      </c>
      <c r="N16" s="12">
        <v>1168</v>
      </c>
      <c r="O16" s="12">
        <v>742</v>
      </c>
      <c r="P16" s="12">
        <v>1560</v>
      </c>
      <c r="Q16" s="12">
        <v>2217</v>
      </c>
      <c r="R16" s="12">
        <v>454</v>
      </c>
      <c r="S16" s="12"/>
    </row>
    <row r="17" spans="2:19" ht="12.75" customHeight="1">
      <c r="B17" s="3" t="s">
        <v>110</v>
      </c>
      <c r="C17" s="12">
        <v>6314</v>
      </c>
      <c r="D17" s="12">
        <v>4171</v>
      </c>
      <c r="E17" s="12">
        <v>3381</v>
      </c>
      <c r="F17" s="12">
        <v>2195</v>
      </c>
      <c r="G17" s="12">
        <v>1926</v>
      </c>
      <c r="H17" s="36">
        <v>1073</v>
      </c>
      <c r="I17" s="36">
        <v>1983</v>
      </c>
      <c r="J17" s="36">
        <v>1313</v>
      </c>
      <c r="K17" s="36">
        <v>1477</v>
      </c>
      <c r="L17" s="12">
        <v>1133</v>
      </c>
      <c r="M17" s="12">
        <v>1362</v>
      </c>
      <c r="N17" s="12">
        <v>1153</v>
      </c>
      <c r="O17" s="12">
        <v>741</v>
      </c>
      <c r="P17" s="12">
        <v>1585</v>
      </c>
      <c r="Q17" s="12">
        <v>2225</v>
      </c>
      <c r="R17" s="12">
        <v>433</v>
      </c>
      <c r="S17" s="12"/>
    </row>
    <row r="18" spans="2:19" ht="12.75" customHeight="1">
      <c r="B18" s="3" t="s">
        <v>11</v>
      </c>
      <c r="C18" s="12">
        <v>124704</v>
      </c>
      <c r="D18" s="12">
        <v>99823</v>
      </c>
      <c r="E18" s="12">
        <v>82759</v>
      </c>
      <c r="F18" s="12">
        <v>72365</v>
      </c>
      <c r="G18" s="12">
        <v>65039</v>
      </c>
      <c r="H18" s="36">
        <v>60568</v>
      </c>
      <c r="I18" s="36">
        <v>59858</v>
      </c>
      <c r="J18" s="36">
        <v>56128</v>
      </c>
      <c r="K18" s="36">
        <v>44998</v>
      </c>
      <c r="L18" s="12">
        <v>41211</v>
      </c>
      <c r="M18" s="12">
        <v>35088</v>
      </c>
      <c r="N18" s="12">
        <v>29556</v>
      </c>
      <c r="O18" s="12">
        <v>27789</v>
      </c>
      <c r="P18" s="12">
        <v>28938</v>
      </c>
      <c r="Q18" s="12">
        <v>31799</v>
      </c>
      <c r="R18" s="12">
        <v>29278</v>
      </c>
      <c r="S18" s="12"/>
    </row>
    <row r="19" spans="2:19" ht="12.75" customHeight="1">
      <c r="B19" s="3" t="s">
        <v>111</v>
      </c>
      <c r="C19" s="12">
        <v>43676</v>
      </c>
      <c r="D19" s="12">
        <v>35812</v>
      </c>
      <c r="E19" s="12">
        <v>32362</v>
      </c>
      <c r="F19" s="12">
        <v>29876</v>
      </c>
      <c r="G19" s="12">
        <v>23249</v>
      </c>
      <c r="H19" s="36">
        <v>21644</v>
      </c>
      <c r="I19" s="36">
        <v>20809</v>
      </c>
      <c r="J19" s="36">
        <v>19633</v>
      </c>
      <c r="K19" s="36">
        <v>14285</v>
      </c>
      <c r="L19" s="12">
        <v>13301</v>
      </c>
      <c r="M19" s="12">
        <v>12912</v>
      </c>
      <c r="N19" s="12">
        <v>11373</v>
      </c>
      <c r="O19" s="12">
        <v>12227</v>
      </c>
      <c r="P19" s="12">
        <v>11280</v>
      </c>
      <c r="Q19" s="12">
        <v>13069</v>
      </c>
      <c r="R19" s="12">
        <v>11444</v>
      </c>
      <c r="S19" s="12"/>
    </row>
    <row r="20" spans="2:19" ht="12.75" customHeight="1">
      <c r="B20" s="3" t="s">
        <v>112</v>
      </c>
      <c r="C20" s="12">
        <v>43336</v>
      </c>
      <c r="D20" s="12">
        <v>35503</v>
      </c>
      <c r="E20" s="12">
        <v>32035</v>
      </c>
      <c r="F20" s="12">
        <v>29486</v>
      </c>
      <c r="G20" s="12">
        <v>22976</v>
      </c>
      <c r="H20" s="36">
        <v>21466</v>
      </c>
      <c r="I20" s="36">
        <v>20535</v>
      </c>
      <c r="J20" s="36">
        <v>19412</v>
      </c>
      <c r="K20" s="36">
        <v>14097</v>
      </c>
      <c r="L20" s="12">
        <v>13156</v>
      </c>
      <c r="M20" s="12">
        <v>12851</v>
      </c>
      <c r="N20" s="12">
        <v>11291</v>
      </c>
      <c r="O20" s="12">
        <v>12136</v>
      </c>
      <c r="P20" s="12">
        <v>11168</v>
      </c>
      <c r="Q20" s="12">
        <v>12950</v>
      </c>
      <c r="R20" s="12">
        <v>11274</v>
      </c>
      <c r="S20" s="12"/>
    </row>
    <row r="21" spans="2:19" ht="12.75" customHeight="1">
      <c r="B21" s="3" t="s">
        <v>162</v>
      </c>
      <c r="C21" s="51">
        <v>80.58</v>
      </c>
      <c r="D21" s="51">
        <v>66.33</v>
      </c>
      <c r="E21" s="51">
        <v>60.11</v>
      </c>
      <c r="F21" s="51">
        <v>55.64</v>
      </c>
      <c r="G21" s="51">
        <v>43.58</v>
      </c>
      <c r="H21" s="38">
        <v>40.58</v>
      </c>
      <c r="I21" s="38">
        <f>154.48/4</f>
        <v>38.619999999999997</v>
      </c>
      <c r="J21" s="38">
        <f>145.43/4</f>
        <v>36.357500000000002</v>
      </c>
      <c r="K21" s="38">
        <f>121.86/4</f>
        <v>30.465</v>
      </c>
      <c r="L21" s="38">
        <f>114.17/4</f>
        <v>28.5425</v>
      </c>
      <c r="M21" s="38">
        <f>111.99/4</f>
        <v>27.997499999999999</v>
      </c>
      <c r="N21" s="38">
        <f>98.83/4</f>
        <v>24.7075</v>
      </c>
      <c r="O21" s="38">
        <f>105.31/4</f>
        <v>26.327500000000001</v>
      </c>
      <c r="P21" s="38">
        <f>97.35/4</f>
        <v>24.337499999999999</v>
      </c>
      <c r="Q21" s="38">
        <f>113.53/4</f>
        <v>28.3825</v>
      </c>
      <c r="R21" s="38">
        <f>99.41/4</f>
        <v>24.852499999999999</v>
      </c>
      <c r="S21"/>
    </row>
    <row r="22" spans="2:19" ht="12.75" customHeight="1">
      <c r="B22" s="3" t="s">
        <v>113</v>
      </c>
      <c r="C22" s="12">
        <v>8894</v>
      </c>
      <c r="D22" s="12">
        <v>5999</v>
      </c>
      <c r="E22" s="12">
        <v>6102</v>
      </c>
      <c r="F22" s="12">
        <v>5663</v>
      </c>
      <c r="G22" s="12">
        <v>4669</v>
      </c>
      <c r="H22" s="36">
        <v>2918</v>
      </c>
      <c r="I22" s="36">
        <v>-354</v>
      </c>
      <c r="J22" s="36">
        <v>2190</v>
      </c>
      <c r="K22" s="36">
        <v>344</v>
      </c>
      <c r="L22" s="12">
        <v>28</v>
      </c>
      <c r="M22" s="12">
        <v>-1880</v>
      </c>
      <c r="N22" s="12">
        <v>185</v>
      </c>
      <c r="O22" s="12">
        <v>1953</v>
      </c>
      <c r="P22" s="12">
        <v>3837</v>
      </c>
      <c r="Q22" s="12">
        <v>4735</v>
      </c>
      <c r="R22" s="12">
        <v>2382</v>
      </c>
      <c r="S22" s="12"/>
    </row>
    <row r="23" spans="2:19" ht="12.75" customHeight="1">
      <c r="B23" s="3" t="s">
        <v>12</v>
      </c>
      <c r="C23" s="12">
        <v>3989</v>
      </c>
      <c r="D23" s="12">
        <v>2211</v>
      </c>
      <c r="E23" s="12">
        <v>2343</v>
      </c>
      <c r="F23" s="12">
        <v>2432</v>
      </c>
      <c r="G23" s="12">
        <v>-2125</v>
      </c>
      <c r="H23" s="36">
        <v>-4273</v>
      </c>
      <c r="I23" s="36">
        <v>-7069</v>
      </c>
      <c r="J23" s="36">
        <v>-1460</v>
      </c>
      <c r="K23" s="36">
        <v>-1834</v>
      </c>
      <c r="L23" s="12">
        <v>-1836</v>
      </c>
      <c r="M23" s="12">
        <v>-3217</v>
      </c>
      <c r="N23" s="12">
        <v>-2113</v>
      </c>
      <c r="O23" s="12">
        <v>813</v>
      </c>
      <c r="P23" s="12">
        <v>1996</v>
      </c>
      <c r="Q23" s="12">
        <v>5333</v>
      </c>
      <c r="R23" s="12">
        <v>3291</v>
      </c>
      <c r="S23" s="12"/>
    </row>
    <row r="24" spans="2:19" ht="12.75" customHeight="1">
      <c r="B24" s="3" t="s">
        <v>13</v>
      </c>
      <c r="C24" s="12">
        <v>12105</v>
      </c>
      <c r="D24" s="12">
        <v>6732</v>
      </c>
      <c r="E24" s="12">
        <v>6462</v>
      </c>
      <c r="F24" s="12">
        <v>4654</v>
      </c>
      <c r="G24" s="12">
        <v>5713</v>
      </c>
      <c r="H24" s="36">
        <v>5800</v>
      </c>
      <c r="I24" s="36">
        <v>1194</v>
      </c>
      <c r="J24" s="36">
        <v>-490</v>
      </c>
      <c r="K24" s="36">
        <v>3164</v>
      </c>
      <c r="L24" s="12">
        <v>4154</v>
      </c>
      <c r="M24" s="12">
        <v>358</v>
      </c>
      <c r="N24" s="12">
        <v>-713</v>
      </c>
      <c r="O24" s="12">
        <v>-662</v>
      </c>
      <c r="P24" s="12">
        <v>350</v>
      </c>
      <c r="Q24" s="12">
        <v>2392</v>
      </c>
      <c r="R24" s="12">
        <v>4487</v>
      </c>
      <c r="S24" s="12"/>
    </row>
    <row r="25" spans="2:19" ht="12.75" customHeight="1">
      <c r="B25" s="3" t="s">
        <v>14</v>
      </c>
      <c r="C25" s="12">
        <v>4206</v>
      </c>
      <c r="D25" s="12">
        <v>993</v>
      </c>
      <c r="E25" s="12">
        <v>1566</v>
      </c>
      <c r="F25" s="12">
        <v>1871</v>
      </c>
      <c r="G25" s="12">
        <v>2737</v>
      </c>
      <c r="H25" s="36">
        <v>3753</v>
      </c>
      <c r="I25" s="36">
        <v>-2036</v>
      </c>
      <c r="J25" s="36">
        <v>-3195</v>
      </c>
      <c r="K25" s="36">
        <v>852</v>
      </c>
      <c r="L25" s="12">
        <v>2359</v>
      </c>
      <c r="M25" s="12">
        <v>-726</v>
      </c>
      <c r="N25" s="12">
        <v>-1094</v>
      </c>
      <c r="O25" s="12">
        <v>-1460</v>
      </c>
      <c r="P25" s="12">
        <v>-396</v>
      </c>
      <c r="Q25" s="12">
        <v>2477</v>
      </c>
      <c r="R25" s="12">
        <v>4349</v>
      </c>
      <c r="S25" s="12"/>
    </row>
    <row r="26" spans="2:19" ht="12.75" customHeight="1">
      <c r="B26" s="3" t="s">
        <v>15</v>
      </c>
      <c r="C26" s="12">
        <v>53037</v>
      </c>
      <c r="D26" s="12">
        <v>45650</v>
      </c>
      <c r="E26" s="12">
        <v>42453</v>
      </c>
      <c r="F26" s="12">
        <v>39364</v>
      </c>
      <c r="G26" s="12">
        <v>37243</v>
      </c>
      <c r="H26" s="36">
        <v>36338</v>
      </c>
      <c r="I26" s="36">
        <v>34485</v>
      </c>
      <c r="J26" s="36">
        <v>28151</v>
      </c>
      <c r="K26" s="36">
        <v>22495</v>
      </c>
      <c r="L26" s="12">
        <v>21135</v>
      </c>
      <c r="M26" s="12">
        <v>18454</v>
      </c>
      <c r="N26" s="12">
        <v>15897</v>
      </c>
      <c r="O26" s="12">
        <v>15454</v>
      </c>
      <c r="P26" s="12">
        <v>15131</v>
      </c>
      <c r="Q26" s="12">
        <v>13987</v>
      </c>
      <c r="R26" s="12">
        <v>13743</v>
      </c>
      <c r="S26" s="12"/>
    </row>
    <row r="27" spans="2:19" ht="12.75" customHeight="1">
      <c r="B27" s="3" t="s">
        <v>16</v>
      </c>
      <c r="C27" s="50">
        <v>16.5</v>
      </c>
      <c r="D27" s="50">
        <v>13.6</v>
      </c>
      <c r="E27" s="50">
        <v>11.9</v>
      </c>
      <c r="F27" s="50">
        <v>8.8000000000000007</v>
      </c>
      <c r="G27" s="50">
        <v>8.1</v>
      </c>
      <c r="H27" s="37">
        <v>4.3</v>
      </c>
      <c r="I27" s="37">
        <v>9.1</v>
      </c>
      <c r="J27" s="37">
        <v>8.6999999999999993</v>
      </c>
      <c r="K27" s="37">
        <v>10.5</v>
      </c>
      <c r="L27" s="10">
        <v>8.9</v>
      </c>
      <c r="M27" s="10">
        <v>11.2</v>
      </c>
      <c r="N27" s="10">
        <v>11.1</v>
      </c>
      <c r="O27" s="10">
        <v>9.1</v>
      </c>
      <c r="P27" s="10">
        <v>14.6</v>
      </c>
      <c r="Q27" s="10">
        <v>22.2</v>
      </c>
      <c r="R27" s="10">
        <v>7.9</v>
      </c>
      <c r="S27" s="10"/>
    </row>
    <row r="28" spans="2:19" ht="12.75" customHeight="1">
      <c r="B28" s="3" t="s">
        <v>17</v>
      </c>
      <c r="C28" s="50">
        <v>16</v>
      </c>
      <c r="D28" s="50">
        <v>12.4</v>
      </c>
      <c r="E28" s="50">
        <v>11.1</v>
      </c>
      <c r="F28" s="50">
        <v>8.6</v>
      </c>
      <c r="G28" s="50">
        <v>9</v>
      </c>
      <c r="H28" s="37">
        <v>5.0999999999999996</v>
      </c>
      <c r="I28" s="37">
        <v>10</v>
      </c>
      <c r="J28" s="37">
        <v>8.1</v>
      </c>
      <c r="K28" s="37">
        <v>10.9</v>
      </c>
      <c r="L28" s="10">
        <v>9</v>
      </c>
      <c r="M28" s="10">
        <v>11.5</v>
      </c>
      <c r="N28" s="10">
        <v>9.9</v>
      </c>
      <c r="O28" s="10">
        <v>6.3</v>
      </c>
      <c r="P28" s="10">
        <v>12.8</v>
      </c>
      <c r="Q28" s="10">
        <v>18.100000000000001</v>
      </c>
      <c r="R28" s="10">
        <v>4.0999999999999996</v>
      </c>
      <c r="S28" s="10"/>
    </row>
    <row r="29" spans="2:19" ht="12.75" customHeight="1">
      <c r="B29" s="3" t="s">
        <v>18</v>
      </c>
      <c r="C29" s="51">
        <v>11.09</v>
      </c>
      <c r="D29" s="51">
        <v>9.76</v>
      </c>
      <c r="E29" s="51">
        <v>9.7899999999999991</v>
      </c>
      <c r="F29" s="51">
        <v>8.26</v>
      </c>
      <c r="G29" s="51">
        <v>7.69</v>
      </c>
      <c r="H29" s="38">
        <v>4.3600000000000003</v>
      </c>
      <c r="I29" s="38">
        <v>8.83</v>
      </c>
      <c r="J29" s="38">
        <v>7.42</v>
      </c>
      <c r="K29" s="38">
        <v>7.49</v>
      </c>
      <c r="L29" s="14">
        <v>6.59</v>
      </c>
      <c r="M29" s="14">
        <v>7.61</v>
      </c>
      <c r="N29" s="14">
        <v>7.49</v>
      </c>
      <c r="O29" s="14">
        <v>5.92</v>
      </c>
      <c r="P29" s="14">
        <v>9.18</v>
      </c>
      <c r="Q29" s="14">
        <v>13.21</v>
      </c>
      <c r="R29" s="14">
        <v>4.47</v>
      </c>
      <c r="S29" s="14"/>
    </row>
    <row r="30" spans="2:19" ht="12.75" customHeight="1">
      <c r="B30" s="3" t="s">
        <v>19</v>
      </c>
      <c r="C30" s="51">
        <v>1.49</v>
      </c>
      <c r="D30" s="51">
        <v>1.4</v>
      </c>
      <c r="E30" s="51">
        <v>1.22</v>
      </c>
      <c r="F30" s="51">
        <v>1.07</v>
      </c>
      <c r="G30" s="51">
        <v>1.05</v>
      </c>
      <c r="H30" s="38">
        <v>0.98</v>
      </c>
      <c r="I30" s="38">
        <v>1.03</v>
      </c>
      <c r="J30" s="38">
        <v>1.18</v>
      </c>
      <c r="K30" s="38">
        <v>1.41</v>
      </c>
      <c r="L30" s="14">
        <v>1.35</v>
      </c>
      <c r="M30" s="14">
        <v>1.47</v>
      </c>
      <c r="N30" s="14">
        <v>1.48</v>
      </c>
      <c r="O30" s="14">
        <v>1.54</v>
      </c>
      <c r="P30" s="14">
        <v>1.59</v>
      </c>
      <c r="Q30" s="14">
        <v>1.68</v>
      </c>
      <c r="R30" s="14">
        <v>1.78</v>
      </c>
      <c r="S30" s="14"/>
    </row>
    <row r="31" spans="2:19" ht="12.75" customHeight="1">
      <c r="B31" s="3" t="s">
        <v>20</v>
      </c>
      <c r="C31" s="50">
        <v>35</v>
      </c>
      <c r="D31" s="50">
        <v>35.9</v>
      </c>
      <c r="E31" s="50">
        <v>39.1</v>
      </c>
      <c r="F31" s="50">
        <v>41.3</v>
      </c>
      <c r="G31" s="50">
        <v>35.700000000000003</v>
      </c>
      <c r="H31" s="37">
        <v>35.700000000000003</v>
      </c>
      <c r="I31" s="37">
        <v>34.799999999999997</v>
      </c>
      <c r="J31" s="37">
        <v>35</v>
      </c>
      <c r="K31" s="37">
        <v>31.7</v>
      </c>
      <c r="L31" s="10">
        <v>32.299999999999997</v>
      </c>
      <c r="M31" s="10">
        <v>36.799999999999997</v>
      </c>
      <c r="N31" s="10">
        <v>38.5</v>
      </c>
      <c r="O31" s="10">
        <v>44</v>
      </c>
      <c r="P31" s="10">
        <v>39</v>
      </c>
      <c r="Q31" s="10">
        <v>41.1</v>
      </c>
      <c r="R31" s="10">
        <v>39.1</v>
      </c>
      <c r="S31" s="10"/>
    </row>
    <row r="32" spans="2:19" ht="12.75" customHeight="1">
      <c r="B32" s="3" t="s">
        <v>21</v>
      </c>
      <c r="C32" s="51">
        <v>11.62</v>
      </c>
      <c r="D32" s="51">
        <v>6.64</v>
      </c>
      <c r="E32" s="51">
        <v>7.95</v>
      </c>
      <c r="F32" s="51">
        <v>5.34</v>
      </c>
      <c r="G32" s="51">
        <v>6.92</v>
      </c>
      <c r="H32" s="38">
        <v>3.57</v>
      </c>
      <c r="I32" s="38">
        <v>6.01</v>
      </c>
      <c r="J32" s="38">
        <v>8.1</v>
      </c>
      <c r="K32" s="38">
        <v>8.7200000000000006</v>
      </c>
      <c r="L32" s="14">
        <v>6.84</v>
      </c>
      <c r="M32" s="14">
        <v>6.12</v>
      </c>
      <c r="N32" s="14">
        <v>7.37</v>
      </c>
      <c r="O32" s="14">
        <v>3.29</v>
      </c>
      <c r="P32" s="14">
        <v>10.91</v>
      </c>
      <c r="Q32" s="14">
        <v>9.58</v>
      </c>
      <c r="R32" s="14">
        <v>3.2</v>
      </c>
      <c r="S32" s="14"/>
    </row>
    <row r="33" spans="2:19" ht="12.75" customHeight="1">
      <c r="B33" s="3" t="s">
        <v>157</v>
      </c>
      <c r="C33" s="51">
        <v>11.77</v>
      </c>
      <c r="D33" s="51">
        <v>7.81</v>
      </c>
      <c r="E33" s="51">
        <v>6.36</v>
      </c>
      <c r="F33">
        <v>4.1500000000000004</v>
      </c>
      <c r="G33" s="51">
        <v>3.64</v>
      </c>
      <c r="H33" s="38">
        <v>2.02</v>
      </c>
      <c r="I33" s="38">
        <f>14.88/4</f>
        <v>3.72</v>
      </c>
      <c r="J33" s="38">
        <f>11.27/4</f>
        <v>2.8174999999999999</v>
      </c>
      <c r="K33" s="38">
        <f>12.79/4</f>
        <v>3.1974999999999998</v>
      </c>
      <c r="L33" s="38">
        <f>9.85/4</f>
        <v>2.4624999999999999</v>
      </c>
      <c r="M33" s="38">
        <f>11.9/4</f>
        <v>2.9750000000000001</v>
      </c>
      <c r="N33" s="38">
        <f>10.03/4</f>
        <v>2.5074999999999998</v>
      </c>
      <c r="O33" s="38">
        <f>6.45/4</f>
        <v>1.6125</v>
      </c>
      <c r="P33" s="38">
        <f>13.86/4</f>
        <v>3.4649999999999999</v>
      </c>
      <c r="Q33" s="38">
        <f>19.57/4</f>
        <v>4.8925000000000001</v>
      </c>
      <c r="R33" s="38">
        <f>3.8/4</f>
        <v>0.95</v>
      </c>
      <c r="S33" s="14"/>
    </row>
    <row r="34" spans="2:19" ht="12.75" customHeight="1">
      <c r="B34" s="3" t="s">
        <v>158</v>
      </c>
      <c r="C34" s="14">
        <v>11.7</v>
      </c>
      <c r="D34">
        <v>7.74</v>
      </c>
      <c r="E34">
        <v>6.29</v>
      </c>
      <c r="F34">
        <v>4.0999999999999996</v>
      </c>
      <c r="G34" s="51">
        <v>3.61</v>
      </c>
      <c r="H34" s="38">
        <v>2</v>
      </c>
      <c r="I34" s="38">
        <f>14.81/4</f>
        <v>3.7025000000000001</v>
      </c>
      <c r="J34" s="38">
        <f>11.21/4</f>
        <v>2.8025000000000002</v>
      </c>
      <c r="K34" s="38">
        <f>12.7/4</f>
        <v>3.1749999999999998</v>
      </c>
      <c r="L34" s="38">
        <f>9.79/4</f>
        <v>2.4474999999999998</v>
      </c>
      <c r="M34" s="38">
        <f>11.81/4</f>
        <v>2.9525000000000001</v>
      </c>
      <c r="N34" s="38">
        <f>9.96/4</f>
        <v>2.4900000000000002</v>
      </c>
      <c r="O34" s="38">
        <f>6.27/4</f>
        <v>1.5674999999999999</v>
      </c>
      <c r="P34" s="38">
        <f>13.41/4</f>
        <v>3.3525</v>
      </c>
      <c r="Q34" s="38">
        <f>18.82/4</f>
        <v>4.7050000000000001</v>
      </c>
      <c r="R34" s="38">
        <f>3.66/4</f>
        <v>0.91500000000000004</v>
      </c>
      <c r="S34" s="14"/>
    </row>
    <row r="35" spans="2:19" ht="12.75" customHeight="1">
      <c r="B35" s="3" t="s">
        <v>163</v>
      </c>
      <c r="C35" s="58" t="s">
        <v>173</v>
      </c>
      <c r="D35" s="51">
        <v>2</v>
      </c>
      <c r="E35" s="51">
        <v>1.6</v>
      </c>
      <c r="F35" s="51">
        <v>1.33</v>
      </c>
      <c r="G35" s="56">
        <v>1.23</v>
      </c>
      <c r="H35" s="38">
        <v>1.18</v>
      </c>
      <c r="I35" s="39">
        <v>0</v>
      </c>
      <c r="J35" s="55">
        <f>4.5/4</f>
        <v>1.125</v>
      </c>
      <c r="K35" s="55">
        <f>5.5/4</f>
        <v>1.375</v>
      </c>
      <c r="L35" s="57">
        <f>5.25/4</f>
        <v>1.3125</v>
      </c>
      <c r="M35" s="57">
        <f>5/4</f>
        <v>1.25</v>
      </c>
      <c r="N35" s="14">
        <f>4.75/4</f>
        <v>1.1875</v>
      </c>
      <c r="O35" s="14">
        <f>4.5/4</f>
        <v>1.125</v>
      </c>
      <c r="P35" s="14">
        <f>4.5/4</f>
        <v>1.125</v>
      </c>
      <c r="Q35" s="14">
        <f>4.5/4</f>
        <v>1.125</v>
      </c>
      <c r="R35" s="14">
        <f>3.5/4</f>
        <v>0.875</v>
      </c>
      <c r="S35"/>
    </row>
    <row r="36" spans="2:19" ht="12.75" customHeight="1">
      <c r="B36" s="3" t="s">
        <v>22</v>
      </c>
      <c r="C36" s="12">
        <v>6112</v>
      </c>
      <c r="D36" s="12">
        <v>4012</v>
      </c>
      <c r="E36" s="12">
        <v>2507</v>
      </c>
      <c r="F36" s="12">
        <v>1624</v>
      </c>
      <c r="G36" s="12">
        <v>1223</v>
      </c>
      <c r="H36" s="36">
        <v>1269</v>
      </c>
      <c r="I36" s="36">
        <v>1213</v>
      </c>
      <c r="J36" s="36">
        <v>1481</v>
      </c>
      <c r="K36" s="36">
        <v>1093</v>
      </c>
      <c r="L36" s="12">
        <v>807</v>
      </c>
      <c r="M36" s="12">
        <v>799</v>
      </c>
      <c r="N36" s="12">
        <v>732</v>
      </c>
      <c r="O36" s="12">
        <v>543</v>
      </c>
      <c r="P36" s="12">
        <v>328</v>
      </c>
      <c r="Q36" s="12">
        <v>325</v>
      </c>
      <c r="R36" s="12">
        <v>262</v>
      </c>
      <c r="S36" s="12"/>
    </row>
    <row r="37" spans="2:19" ht="12.75" customHeight="1">
      <c r="B37" s="3" t="s">
        <v>144</v>
      </c>
      <c r="C37" s="12">
        <v>12555</v>
      </c>
      <c r="D37" s="12">
        <v>10528</v>
      </c>
      <c r="E37" s="12">
        <v>8899</v>
      </c>
      <c r="F37" s="12">
        <v>7637</v>
      </c>
      <c r="G37" s="12">
        <v>6897</v>
      </c>
      <c r="H37" s="36">
        <v>7440</v>
      </c>
      <c r="I37" s="36">
        <v>7643</v>
      </c>
      <c r="J37" s="36">
        <v>7562</v>
      </c>
      <c r="K37" s="36">
        <v>7348</v>
      </c>
      <c r="L37" s="12">
        <v>7421</v>
      </c>
      <c r="M37" s="12">
        <v>6841</v>
      </c>
      <c r="N37" s="12">
        <v>5970</v>
      </c>
      <c r="O37" s="12">
        <v>6543</v>
      </c>
      <c r="P37" s="12">
        <v>5946</v>
      </c>
      <c r="Q37" s="12">
        <v>5116</v>
      </c>
      <c r="R37" s="12">
        <v>5008</v>
      </c>
      <c r="S37" s="12"/>
    </row>
    <row r="38" spans="2:19" ht="12.75" customHeight="1">
      <c r="B38" s="3" t="s">
        <v>24</v>
      </c>
      <c r="C38" s="12">
        <v>27838</v>
      </c>
      <c r="D38" s="12">
        <v>24481</v>
      </c>
      <c r="E38" s="12">
        <v>21479</v>
      </c>
      <c r="F38" s="12">
        <v>19002</v>
      </c>
      <c r="G38" s="12">
        <v>18153</v>
      </c>
      <c r="H38" s="36">
        <v>18073</v>
      </c>
      <c r="I38" s="36">
        <v>17420</v>
      </c>
      <c r="J38" s="36">
        <v>17096</v>
      </c>
      <c r="K38" s="36">
        <v>16427</v>
      </c>
      <c r="L38" s="12">
        <v>15465</v>
      </c>
      <c r="M38" s="12">
        <v>14685</v>
      </c>
      <c r="N38" s="12">
        <v>14716</v>
      </c>
      <c r="O38" s="12">
        <v>14140</v>
      </c>
      <c r="P38" s="12">
        <v>13968</v>
      </c>
      <c r="Q38" s="12">
        <v>13068</v>
      </c>
      <c r="R38" s="12">
        <v>12536</v>
      </c>
      <c r="S38" s="12"/>
    </row>
    <row r="39" spans="2:19" ht="12.75" customHeight="1">
      <c r="C39" s="12"/>
      <c r="D39" s="12"/>
      <c r="E39" s="12"/>
      <c r="F39" s="12"/>
      <c r="G39" s="12"/>
      <c r="H39" s="27"/>
      <c r="I39" s="27"/>
      <c r="J39" s="27"/>
      <c r="K39" s="27"/>
      <c r="L39" s="12"/>
      <c r="M39" s="12"/>
      <c r="N39" s="12"/>
      <c r="O39" s="12"/>
      <c r="P39" s="12"/>
      <c r="Q39" s="12"/>
      <c r="R39" s="12"/>
      <c r="S39" s="12"/>
    </row>
    <row r="40" spans="2:19" ht="12.75" customHeight="1">
      <c r="B40" s="5" t="s">
        <v>159</v>
      </c>
      <c r="C40" s="12">
        <v>537769114</v>
      </c>
      <c r="D40" s="12">
        <v>535270968</v>
      </c>
      <c r="E40" s="12">
        <v>532989260</v>
      </c>
      <c r="F40" s="12">
        <v>529955536</v>
      </c>
      <c r="G40" s="12">
        <v>527240712</v>
      </c>
      <c r="H40" s="36">
        <v>528988292</v>
      </c>
      <c r="I40" s="36">
        <f>132926363*4</f>
        <v>531705452</v>
      </c>
      <c r="J40" s="36">
        <f>133482880*4</f>
        <v>533931520</v>
      </c>
      <c r="K40" s="36">
        <f>115685451*4</f>
        <v>462741804</v>
      </c>
      <c r="L40" s="36">
        <f>115232495*4</f>
        <v>460929980</v>
      </c>
      <c r="M40" s="36">
        <f>114746834*4</f>
        <v>458987336</v>
      </c>
      <c r="N40" s="36">
        <f>114251832*4</f>
        <v>457007328</v>
      </c>
      <c r="O40" s="36">
        <f>115241831*4</f>
        <v>460967324</v>
      </c>
      <c r="P40" s="36">
        <f>114718422*4</f>
        <v>458873688</v>
      </c>
      <c r="Q40" s="36">
        <f>114069871*4</f>
        <v>456279484</v>
      </c>
      <c r="R40" s="36">
        <f>113404688*4</f>
        <v>453618752</v>
      </c>
      <c r="S40" s="12"/>
    </row>
    <row r="41" spans="2:19" ht="12.75" customHeight="1">
      <c r="B41" s="5" t="s">
        <v>160</v>
      </c>
      <c r="C41" s="12">
        <v>536594461</v>
      </c>
      <c r="D41" s="12">
        <v>534007696</v>
      </c>
      <c r="E41" s="12">
        <v>531535632</v>
      </c>
      <c r="F41" s="12">
        <v>528630344</v>
      </c>
      <c r="G41" s="12">
        <v>528658396</v>
      </c>
      <c r="H41" s="36">
        <v>532039944</v>
      </c>
      <c r="I41" s="36">
        <f>133245360*4</f>
        <v>532981440</v>
      </c>
      <c r="J41" s="36">
        <f>116467822*4</f>
        <v>465871288</v>
      </c>
      <c r="K41" s="36">
        <f>115444915*4</f>
        <v>461779660</v>
      </c>
      <c r="L41" s="36">
        <f>114971098*4</f>
        <v>459884392</v>
      </c>
      <c r="M41" s="36">
        <f>114484478*4</f>
        <v>457937912</v>
      </c>
      <c r="N41" s="36">
        <f>114929422*4</f>
        <v>459717688</v>
      </c>
      <c r="O41" s="36">
        <f>114928817*4</f>
        <v>459715268</v>
      </c>
      <c r="P41" s="36">
        <f>114395790*4</f>
        <v>457583160</v>
      </c>
      <c r="Q41" s="36">
        <f>113691223*4</f>
        <v>454764892</v>
      </c>
      <c r="R41" s="36">
        <f>113946228*4</f>
        <v>455784912</v>
      </c>
      <c r="S41" s="12"/>
    </row>
    <row r="42" spans="2:19" ht="12.75" customHeight="1">
      <c r="B42" s="5" t="s">
        <v>161</v>
      </c>
      <c r="C42" s="12">
        <v>539791904</v>
      </c>
      <c r="D42" s="12">
        <v>539218308</v>
      </c>
      <c r="E42" s="12">
        <v>537511328</v>
      </c>
      <c r="F42" s="12">
        <v>534896892</v>
      </c>
      <c r="G42" s="12">
        <v>533173360</v>
      </c>
      <c r="H42" s="36">
        <v>535508564</v>
      </c>
      <c r="I42" s="36">
        <f>133929292*4</f>
        <v>535717168</v>
      </c>
      <c r="J42" s="36">
        <f>117144915*4</f>
        <v>468579660</v>
      </c>
      <c r="K42" s="36">
        <f>116310466*4</f>
        <v>465241864</v>
      </c>
      <c r="L42" s="36">
        <f>115775275*4</f>
        <v>463101100</v>
      </c>
      <c r="M42" s="36">
        <f>115280946*4</f>
        <v>461123784</v>
      </c>
      <c r="N42" s="36">
        <f>115785595*4</f>
        <v>463142380</v>
      </c>
      <c r="O42" s="36">
        <f>118205015*4</f>
        <v>472820060</v>
      </c>
      <c r="P42" s="36">
        <f>118205015*4</f>
        <v>472820060</v>
      </c>
      <c r="Q42" s="36">
        <f>118205015*4</f>
        <v>472820060</v>
      </c>
      <c r="R42" s="36">
        <f>118205015*4</f>
        <v>472820060</v>
      </c>
      <c r="S42" s="12"/>
    </row>
    <row r="43" spans="2:19" ht="12.75" customHeight="1">
      <c r="B43" s="5" t="s">
        <v>149</v>
      </c>
      <c r="C43" s="9"/>
      <c r="D43" s="9"/>
      <c r="E43" s="9"/>
      <c r="F43" s="9"/>
      <c r="G43" s="9"/>
      <c r="H43" s="5"/>
      <c r="I43" s="28"/>
      <c r="J43" s="28"/>
      <c r="K43"/>
      <c r="L43"/>
      <c r="M43"/>
      <c r="N43"/>
      <c r="O43"/>
      <c r="P43"/>
      <c r="Q43"/>
      <c r="R43"/>
      <c r="S43"/>
    </row>
    <row r="44" spans="2:19" ht="12.75" customHeight="1">
      <c r="B44" s="5" t="s">
        <v>114</v>
      </c>
      <c r="C44" s="9"/>
      <c r="D44" s="9"/>
      <c r="E44" s="9"/>
      <c r="F44" s="9"/>
      <c r="G44" s="9"/>
      <c r="H44" s="5"/>
      <c r="I44" s="28"/>
      <c r="J44" s="28"/>
      <c r="K44"/>
      <c r="L44"/>
      <c r="M44"/>
      <c r="N44"/>
      <c r="O44"/>
      <c r="P44"/>
      <c r="Q44"/>
      <c r="R44"/>
      <c r="S44"/>
    </row>
    <row r="45" spans="2:19" ht="12.75" customHeight="1">
      <c r="B45" s="5" t="s">
        <v>156</v>
      </c>
      <c r="I45" s="28"/>
      <c r="J45" s="28"/>
      <c r="K45"/>
      <c r="L45"/>
      <c r="M45"/>
      <c r="N45"/>
      <c r="O45"/>
      <c r="P45"/>
      <c r="Q45"/>
      <c r="R45"/>
      <c r="S45"/>
    </row>
    <row r="46" spans="2:19" ht="12.75" customHeight="1">
      <c r="B46" s="5" t="s">
        <v>169</v>
      </c>
      <c r="C46" s="47"/>
      <c r="D46" s="47"/>
      <c r="E46" s="47"/>
      <c r="F46" s="47"/>
      <c r="G46" s="47"/>
      <c r="H46" s="42"/>
      <c r="I46" s="28"/>
      <c r="J46" s="28"/>
      <c r="K46"/>
      <c r="L46"/>
      <c r="M46"/>
      <c r="N46"/>
      <c r="O46"/>
      <c r="P46"/>
      <c r="Q46"/>
      <c r="R46"/>
      <c r="S46"/>
    </row>
    <row r="47" spans="2:19" ht="12.75" customHeight="1">
      <c r="B47" s="44"/>
      <c r="C47" s="48"/>
      <c r="D47" s="48"/>
      <c r="E47" s="48"/>
      <c r="F47" s="48"/>
      <c r="G47" s="48"/>
      <c r="H47" s="44"/>
      <c r="I47" s="28"/>
      <c r="J47" s="28"/>
      <c r="K47"/>
      <c r="L47"/>
      <c r="M47"/>
      <c r="N47"/>
      <c r="O47"/>
      <c r="P47"/>
      <c r="Q47"/>
      <c r="R47"/>
      <c r="S47"/>
    </row>
    <row r="48" spans="2:19">
      <c r="B48" s="44"/>
      <c r="C48" s="48"/>
      <c r="D48" s="48"/>
      <c r="E48" s="48"/>
      <c r="F48" s="48"/>
      <c r="G48" s="48"/>
      <c r="H48" s="44"/>
    </row>
    <row r="49" spans="2:8">
      <c r="B49" s="44"/>
      <c r="C49" s="48"/>
      <c r="D49" s="48"/>
      <c r="E49" s="48"/>
      <c r="F49" s="48"/>
      <c r="G49" s="48"/>
      <c r="H49" s="44"/>
    </row>
    <row r="50" spans="2:8">
      <c r="B50" s="43"/>
      <c r="C50" s="49"/>
      <c r="D50" s="49"/>
      <c r="E50" s="49"/>
      <c r="F50" s="49"/>
      <c r="G50" s="49"/>
      <c r="H50" s="43"/>
    </row>
    <row r="51" spans="2:8">
      <c r="B51" s="43"/>
      <c r="C51" s="49"/>
      <c r="D51" s="49"/>
      <c r="E51" s="49"/>
      <c r="F51" s="49"/>
      <c r="G51" s="49"/>
      <c r="H51" s="43"/>
    </row>
    <row r="52" spans="2:8">
      <c r="B52" s="43"/>
      <c r="C52" s="49"/>
      <c r="D52" s="49"/>
      <c r="E52" s="49"/>
      <c r="F52" s="49"/>
      <c r="G52" s="49"/>
      <c r="H52" s="43"/>
    </row>
    <row r="53" spans="2:8">
      <c r="B53" s="43"/>
      <c r="C53" s="49"/>
      <c r="D53" s="49"/>
      <c r="E53" s="49"/>
      <c r="F53" s="49"/>
      <c r="G53" s="49"/>
      <c r="H53" s="43"/>
    </row>
  </sheetData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>
    <outlinePr summaryBelow="0" summaryRight="0"/>
    <pageSetUpPr fitToPage="1"/>
  </sheetPr>
  <dimension ref="B1:AA34"/>
  <sheetViews>
    <sheetView showGridLines="0" topLeftCell="B1" zoomScale="150" zoomScaleNormal="150" workbookViewId="0">
      <pane ySplit="3" topLeftCell="A7" activePane="bottomLeft" state="frozen"/>
      <selection activeCell="C4" sqref="C4"/>
      <selection pane="bottomLeft" activeCell="I32" sqref="I32"/>
    </sheetView>
  </sheetViews>
  <sheetFormatPr defaultRowHeight="12.5"/>
  <cols>
    <col min="1" max="1" width="0" hidden="1" customWidth="1"/>
    <col min="2" max="2" width="55" style="3" customWidth="1"/>
    <col min="3" max="7" width="9.1796875" customWidth="1"/>
    <col min="8" max="10" width="9.1796875" style="25"/>
    <col min="11" max="27" width="9.1796875" style="2"/>
  </cols>
  <sheetData>
    <row r="1" spans="2:27" ht="23">
      <c r="B1" s="1" t="s">
        <v>119</v>
      </c>
      <c r="C1" s="45"/>
      <c r="D1" s="45"/>
      <c r="E1" s="45"/>
      <c r="F1" s="45"/>
      <c r="G1" s="45"/>
      <c r="Q1"/>
      <c r="R1"/>
      <c r="S1"/>
      <c r="T1"/>
      <c r="U1"/>
      <c r="V1"/>
      <c r="W1"/>
      <c r="X1"/>
      <c r="Y1"/>
      <c r="Z1"/>
      <c r="AA1"/>
    </row>
    <row r="2" spans="2:27" ht="23.25" customHeight="1">
      <c r="B2" s="4" t="s">
        <v>116</v>
      </c>
      <c r="C2" s="46"/>
      <c r="D2" s="46"/>
      <c r="E2" s="46"/>
      <c r="F2" s="46"/>
      <c r="G2" s="46"/>
      <c r="H2" s="2"/>
      <c r="I2" s="2"/>
      <c r="J2" s="2"/>
      <c r="O2" s="2" t="s">
        <v>0</v>
      </c>
      <c r="P2" s="2" t="s">
        <v>0</v>
      </c>
      <c r="Q2" s="2" t="s">
        <v>0</v>
      </c>
      <c r="T2"/>
      <c r="U2"/>
      <c r="V2"/>
      <c r="W2"/>
      <c r="X2"/>
      <c r="Y2"/>
      <c r="Z2"/>
      <c r="AA2"/>
    </row>
    <row r="3" spans="2:27" s="7" customFormat="1">
      <c r="B3" s="5" t="s">
        <v>39</v>
      </c>
      <c r="C3" s="9" t="s">
        <v>164</v>
      </c>
      <c r="D3" s="9" t="s">
        <v>152</v>
      </c>
      <c r="E3" s="9" t="s">
        <v>151</v>
      </c>
      <c r="F3" s="9" t="s">
        <v>148</v>
      </c>
      <c r="G3" s="9" t="s">
        <v>146</v>
      </c>
      <c r="H3" s="7" t="s">
        <v>145</v>
      </c>
      <c r="I3" s="7" t="s">
        <v>139</v>
      </c>
      <c r="J3" s="7" t="s">
        <v>134</v>
      </c>
      <c r="K3" s="7" t="s">
        <v>126</v>
      </c>
      <c r="L3" s="7" t="s">
        <v>121</v>
      </c>
      <c r="M3" s="7">
        <v>2015</v>
      </c>
      <c r="N3" s="7">
        <v>2014</v>
      </c>
      <c r="O3" s="7" t="s">
        <v>124</v>
      </c>
      <c r="P3" s="7">
        <v>2012</v>
      </c>
      <c r="Q3" s="7">
        <v>2011</v>
      </c>
      <c r="R3" s="7">
        <v>2010</v>
      </c>
    </row>
    <row r="4" spans="2:27" ht="12.75" customHeight="1">
      <c r="B4" s="3" t="s">
        <v>3</v>
      </c>
      <c r="C4" s="12">
        <v>79146</v>
      </c>
      <c r="D4" s="12">
        <v>63751</v>
      </c>
      <c r="E4" s="12">
        <v>51609</v>
      </c>
      <c r="F4" s="12">
        <v>42006</v>
      </c>
      <c r="G4" s="12">
        <v>39154</v>
      </c>
      <c r="H4" s="12">
        <v>35431</v>
      </c>
      <c r="I4" s="12">
        <v>35433</v>
      </c>
      <c r="J4" s="12">
        <v>33156</v>
      </c>
      <c r="K4" s="12">
        <v>31666</v>
      </c>
      <c r="L4" s="12">
        <v>28631</v>
      </c>
      <c r="M4" s="12">
        <v>27186</v>
      </c>
      <c r="N4" s="12">
        <v>23527</v>
      </c>
      <c r="O4" s="12">
        <v>23750</v>
      </c>
      <c r="P4" s="12">
        <v>24010</v>
      </c>
      <c r="Q4" s="12">
        <v>23498</v>
      </c>
      <c r="R4" s="12">
        <v>24434</v>
      </c>
      <c r="S4" s="12"/>
      <c r="T4"/>
      <c r="U4"/>
      <c r="V4"/>
      <c r="W4"/>
      <c r="X4"/>
      <c r="Y4"/>
      <c r="Z4"/>
      <c r="AA4"/>
    </row>
    <row r="5" spans="2:27" ht="12.75" customHeight="1">
      <c r="B5" s="3" t="s">
        <v>25</v>
      </c>
      <c r="C5" s="12">
        <v>-61978</v>
      </c>
      <c r="D5" s="12">
        <v>-50088</v>
      </c>
      <c r="E5" s="12">
        <v>-40349</v>
      </c>
      <c r="F5" s="12">
        <v>-33120</v>
      </c>
      <c r="G5" s="12">
        <v>-30949</v>
      </c>
      <c r="H5" s="12">
        <v>-29755</v>
      </c>
      <c r="I5" s="12">
        <v>-27398</v>
      </c>
      <c r="J5" s="12">
        <v>-25392</v>
      </c>
      <c r="K5" s="12">
        <v>-24123</v>
      </c>
      <c r="L5" s="12">
        <v>-21748</v>
      </c>
      <c r="M5" s="12">
        <v>-20700</v>
      </c>
      <c r="N5" s="12">
        <v>-17450</v>
      </c>
      <c r="O5" s="12">
        <v>-17422</v>
      </c>
      <c r="P5" s="12">
        <v>-16802</v>
      </c>
      <c r="Q5" s="12">
        <v>-16791</v>
      </c>
      <c r="R5" s="12">
        <v>-18843</v>
      </c>
      <c r="S5" s="12"/>
      <c r="T5"/>
      <c r="U5"/>
      <c r="V5"/>
      <c r="W5"/>
      <c r="X5"/>
      <c r="Y5"/>
      <c r="Z5"/>
      <c r="AA5"/>
    </row>
    <row r="6" spans="2:27" ht="12.75" customHeight="1">
      <c r="B6" s="3" t="s">
        <v>26</v>
      </c>
      <c r="C6" s="12">
        <v>17168</v>
      </c>
      <c r="D6" s="12">
        <v>13663</v>
      </c>
      <c r="E6" s="12">
        <v>11260</v>
      </c>
      <c r="F6" s="12">
        <v>8886</v>
      </c>
      <c r="G6" s="12">
        <v>8205</v>
      </c>
      <c r="H6" s="12">
        <v>5676</v>
      </c>
      <c r="I6" s="12">
        <v>8035</v>
      </c>
      <c r="J6" s="12">
        <v>7764</v>
      </c>
      <c r="K6" s="12">
        <v>7543</v>
      </c>
      <c r="L6" s="12">
        <v>6883</v>
      </c>
      <c r="M6" s="12">
        <v>6486</v>
      </c>
      <c r="N6" s="12">
        <v>6077</v>
      </c>
      <c r="O6" s="12">
        <v>6328</v>
      </c>
      <c r="P6" s="12">
        <v>7208</v>
      </c>
      <c r="Q6" s="12">
        <v>6707</v>
      </c>
      <c r="R6" s="12">
        <v>5591</v>
      </c>
      <c r="S6" s="12"/>
      <c r="T6"/>
      <c r="U6"/>
      <c r="V6"/>
      <c r="W6"/>
      <c r="X6"/>
      <c r="Y6"/>
      <c r="Z6"/>
      <c r="AA6"/>
    </row>
    <row r="7" spans="2:27" ht="12.75" customHeight="1">
      <c r="B7" s="3" t="s">
        <v>27</v>
      </c>
      <c r="C7" s="12">
        <v>538</v>
      </c>
      <c r="D7" s="12">
        <v>301</v>
      </c>
      <c r="E7" s="12">
        <v>591</v>
      </c>
      <c r="F7" s="12">
        <v>231</v>
      </c>
      <c r="G7" s="12">
        <v>146</v>
      </c>
      <c r="H7" s="12">
        <v>1291</v>
      </c>
      <c r="I7" s="12">
        <v>217</v>
      </c>
      <c r="J7" s="12">
        <v>156</v>
      </c>
      <c r="K7" s="12">
        <v>104</v>
      </c>
      <c r="L7" s="12">
        <v>201</v>
      </c>
      <c r="M7" s="12">
        <v>371</v>
      </c>
      <c r="N7" s="12">
        <v>430</v>
      </c>
      <c r="O7" s="12">
        <v>204</v>
      </c>
      <c r="P7" s="12">
        <v>338</v>
      </c>
      <c r="Q7" s="12">
        <v>1351</v>
      </c>
      <c r="R7" s="12">
        <v>222</v>
      </c>
      <c r="S7" s="12"/>
      <c r="T7"/>
      <c r="U7"/>
      <c r="V7"/>
      <c r="W7"/>
      <c r="X7"/>
      <c r="Y7"/>
      <c r="Z7"/>
      <c r="AA7"/>
    </row>
    <row r="8" spans="2:27" ht="12.75" customHeight="1">
      <c r="B8" s="3" t="s">
        <v>28</v>
      </c>
      <c r="C8" s="12">
        <v>-3233</v>
      </c>
      <c r="D8" s="12">
        <v>-3099</v>
      </c>
      <c r="E8" s="12">
        <v>-2738</v>
      </c>
      <c r="F8" s="12">
        <v>-2333</v>
      </c>
      <c r="G8" s="12">
        <v>-2266</v>
      </c>
      <c r="H8" s="12">
        <v>-2339</v>
      </c>
      <c r="I8" s="12">
        <v>-2609</v>
      </c>
      <c r="J8" s="12">
        <v>-2644</v>
      </c>
      <c r="K8" s="12">
        <v>-2430</v>
      </c>
      <c r="L8" s="12">
        <v>-2223</v>
      </c>
      <c r="M8" s="12">
        <v>-2061</v>
      </c>
      <c r="N8" s="12">
        <v>-2144</v>
      </c>
      <c r="O8" s="12">
        <v>-2082</v>
      </c>
      <c r="P8" s="12">
        <v>-2191</v>
      </c>
      <c r="Q8" s="12">
        <v>-1879</v>
      </c>
      <c r="R8" s="12">
        <v>-1727</v>
      </c>
      <c r="S8" s="12"/>
      <c r="T8"/>
      <c r="U8"/>
      <c r="V8"/>
      <c r="W8"/>
      <c r="X8"/>
      <c r="Y8"/>
      <c r="Z8"/>
      <c r="AA8"/>
    </row>
    <row r="9" spans="2:27" ht="12.75" customHeight="1">
      <c r="B9" s="3" t="s">
        <v>29</v>
      </c>
      <c r="C9" s="12">
        <v>-2785</v>
      </c>
      <c r="D9" s="12">
        <v>-2416</v>
      </c>
      <c r="E9" s="12">
        <v>-1980</v>
      </c>
      <c r="F9" s="12">
        <v>-1543</v>
      </c>
      <c r="G9" s="12">
        <v>-1434</v>
      </c>
      <c r="H9" s="12">
        <v>-1409</v>
      </c>
      <c r="I9" s="12">
        <v>-1488</v>
      </c>
      <c r="J9" s="12">
        <v>-1466</v>
      </c>
      <c r="K9" s="12">
        <v>-1493</v>
      </c>
      <c r="L9" s="12">
        <v>-1364</v>
      </c>
      <c r="M9" s="12">
        <v>-1323</v>
      </c>
      <c r="N9" s="12">
        <v>-1214</v>
      </c>
      <c r="O9" s="12">
        <v>-1111</v>
      </c>
      <c r="P9" s="12">
        <v>-1215</v>
      </c>
      <c r="Q9" s="12">
        <v>-1217</v>
      </c>
      <c r="R9" s="12">
        <v>-1235</v>
      </c>
      <c r="S9" s="12"/>
      <c r="T9"/>
      <c r="U9"/>
      <c r="V9"/>
      <c r="W9"/>
      <c r="X9"/>
      <c r="Y9"/>
      <c r="Z9"/>
      <c r="AA9"/>
    </row>
    <row r="10" spans="2:27" ht="12.75" customHeight="1">
      <c r="B10" s="3" t="s">
        <v>23</v>
      </c>
      <c r="C10" s="12">
        <v>-3623</v>
      </c>
      <c r="D10" s="12">
        <v>-2809</v>
      </c>
      <c r="E10" s="12">
        <v>-2117</v>
      </c>
      <c r="F10" s="12">
        <v>-1817</v>
      </c>
      <c r="G10" s="12">
        <v>-1659</v>
      </c>
      <c r="H10" s="12">
        <v>-1331</v>
      </c>
      <c r="I10" s="12">
        <v>-1137</v>
      </c>
      <c r="J10" s="12">
        <v>-1267</v>
      </c>
      <c r="K10" s="12">
        <v>-1348</v>
      </c>
      <c r="L10" s="12">
        <v>-1592</v>
      </c>
      <c r="M10" s="12">
        <v>-1565</v>
      </c>
      <c r="N10" s="12">
        <v>-1487</v>
      </c>
      <c r="O10" s="12">
        <v>-1762</v>
      </c>
      <c r="P10" s="12">
        <v>-2096</v>
      </c>
      <c r="Q10" s="12">
        <v>-1928</v>
      </c>
      <c r="R10" s="12">
        <v>-1820</v>
      </c>
      <c r="S10" s="12"/>
      <c r="T10"/>
      <c r="U10"/>
      <c r="V10"/>
      <c r="W10"/>
      <c r="X10"/>
      <c r="Y10"/>
      <c r="Z10"/>
      <c r="AA10"/>
    </row>
    <row r="11" spans="2:27" ht="12.75" customHeight="1">
      <c r="B11" s="3" t="s">
        <v>30</v>
      </c>
      <c r="C11" s="12">
        <v>-135</v>
      </c>
      <c r="D11" s="12">
        <v>-50</v>
      </c>
      <c r="E11" s="12">
        <v>-59</v>
      </c>
      <c r="F11" s="12">
        <v>-53</v>
      </c>
      <c r="G11" s="12">
        <v>-76</v>
      </c>
      <c r="H11" s="12">
        <v>-393</v>
      </c>
      <c r="I11" s="12">
        <v>-76</v>
      </c>
      <c r="J11" s="12">
        <v>-263</v>
      </c>
      <c r="K11" s="12">
        <v>-87</v>
      </c>
      <c r="L11" s="12">
        <v>-70</v>
      </c>
      <c r="M11" s="12">
        <v>-48</v>
      </c>
      <c r="N11" s="12">
        <v>-21</v>
      </c>
      <c r="O11" s="12">
        <v>-257</v>
      </c>
      <c r="P11" s="12">
        <v>-19</v>
      </c>
      <c r="Q11" s="12">
        <v>-77</v>
      </c>
      <c r="R11" s="12">
        <v>-70</v>
      </c>
      <c r="S11" s="12"/>
      <c r="T11"/>
      <c r="U11"/>
      <c r="V11"/>
      <c r="W11"/>
      <c r="X11"/>
      <c r="Y11"/>
      <c r="Z11"/>
      <c r="AA11"/>
    </row>
    <row r="12" spans="2:27" ht="12.75" customHeight="1">
      <c r="B12" s="3" t="s">
        <v>147</v>
      </c>
      <c r="C12" s="12">
        <v>136</v>
      </c>
      <c r="D12" s="12">
        <v>72</v>
      </c>
      <c r="E12" s="12">
        <v>-685</v>
      </c>
      <c r="F12" s="12">
        <v>-97</v>
      </c>
      <c r="G12" s="12">
        <v>-28</v>
      </c>
      <c r="H12" s="12">
        <v>-180</v>
      </c>
      <c r="I12" s="12">
        <v>-5</v>
      </c>
      <c r="J12" s="12">
        <v>-14</v>
      </c>
      <c r="K12" s="12">
        <v>-39</v>
      </c>
      <c r="L12" s="12">
        <v>-38</v>
      </c>
      <c r="M12" s="12">
        <v>40</v>
      </c>
      <c r="N12" s="12">
        <v>18</v>
      </c>
      <c r="O12" s="12">
        <v>25</v>
      </c>
      <c r="P12" s="12">
        <v>25</v>
      </c>
      <c r="Q12" s="12">
        <v>-16</v>
      </c>
      <c r="R12" s="12">
        <v>14</v>
      </c>
      <c r="S12" s="12"/>
      <c r="T12"/>
      <c r="U12"/>
      <c r="V12"/>
      <c r="W12"/>
      <c r="X12"/>
      <c r="Y12"/>
      <c r="Z12"/>
      <c r="AA12"/>
    </row>
    <row r="13" spans="2:27" ht="12.75" customHeight="1">
      <c r="B13" s="3" t="s">
        <v>31</v>
      </c>
      <c r="C13" s="12">
        <v>8066</v>
      </c>
      <c r="D13" s="12">
        <v>5662</v>
      </c>
      <c r="E13" s="12">
        <v>4272</v>
      </c>
      <c r="F13" s="12">
        <v>3274</v>
      </c>
      <c r="G13" s="12">
        <v>2888</v>
      </c>
      <c r="H13" s="12">
        <v>1315</v>
      </c>
      <c r="I13" s="12">
        <v>2937</v>
      </c>
      <c r="J13" s="12">
        <v>2266</v>
      </c>
      <c r="K13" s="12">
        <v>2250</v>
      </c>
      <c r="L13" s="12">
        <v>1797</v>
      </c>
      <c r="M13" s="12">
        <v>1900</v>
      </c>
      <c r="N13" s="12">
        <v>1659</v>
      </c>
      <c r="O13" s="12">
        <v>1345</v>
      </c>
      <c r="P13" s="12">
        <v>2050</v>
      </c>
      <c r="Q13" s="12">
        <v>2941</v>
      </c>
      <c r="R13" s="12">
        <v>975</v>
      </c>
      <c r="S13" s="12"/>
      <c r="T13"/>
      <c r="U13"/>
      <c r="V13"/>
      <c r="W13"/>
      <c r="X13"/>
      <c r="Y13"/>
      <c r="Z13"/>
      <c r="AA13"/>
    </row>
    <row r="14" spans="2:27" ht="12.75" customHeight="1">
      <c r="B14" s="3" t="s">
        <v>171</v>
      </c>
      <c r="C14" s="12">
        <v>7730</v>
      </c>
      <c r="D14" s="12"/>
      <c r="E14" s="12"/>
      <c r="F14" s="12"/>
      <c r="G14" s="12"/>
      <c r="H14" s="12">
        <v>2738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/>
      <c r="U14"/>
      <c r="V14"/>
      <c r="W14"/>
      <c r="X14"/>
      <c r="Y14"/>
      <c r="Z14"/>
      <c r="AA14"/>
    </row>
    <row r="15" spans="2:27" ht="12.75" customHeight="1">
      <c r="B15" s="3" t="s">
        <v>147</v>
      </c>
      <c r="C15" s="12" t="s">
        <v>38</v>
      </c>
      <c r="D15" s="12" t="s">
        <v>38</v>
      </c>
      <c r="E15" s="12" t="s">
        <v>38</v>
      </c>
      <c r="F15" s="12" t="s">
        <v>38</v>
      </c>
      <c r="G15" s="12" t="s">
        <v>38</v>
      </c>
      <c r="H15" s="12" t="s">
        <v>38</v>
      </c>
      <c r="I15" s="12" t="s">
        <v>38</v>
      </c>
      <c r="J15" s="12" t="s">
        <v>38</v>
      </c>
      <c r="K15" s="12" t="s">
        <v>38</v>
      </c>
      <c r="L15" s="12" t="s">
        <v>38</v>
      </c>
      <c r="M15" s="12" t="s">
        <v>38</v>
      </c>
      <c r="N15" s="12" t="s">
        <v>38</v>
      </c>
      <c r="O15" s="12" t="s">
        <v>38</v>
      </c>
      <c r="P15" s="12">
        <v>2</v>
      </c>
      <c r="Q15" s="12">
        <v>4</v>
      </c>
      <c r="R15" s="12">
        <v>26</v>
      </c>
      <c r="S15" s="12"/>
      <c r="T15"/>
      <c r="U15"/>
      <c r="V15"/>
      <c r="W15"/>
      <c r="X15"/>
      <c r="Y15"/>
      <c r="Z15"/>
      <c r="AA15"/>
    </row>
    <row r="16" spans="2:27" ht="12.75" customHeight="1">
      <c r="B16" s="3" t="s">
        <v>32</v>
      </c>
      <c r="C16" s="12">
        <v>708</v>
      </c>
      <c r="D16" s="12">
        <v>563</v>
      </c>
      <c r="E16" s="12">
        <v>782</v>
      </c>
      <c r="F16" s="12">
        <v>194</v>
      </c>
      <c r="G16" s="12">
        <v>124</v>
      </c>
      <c r="H16" s="12">
        <v>230</v>
      </c>
      <c r="I16" s="12">
        <v>190</v>
      </c>
      <c r="J16" s="12">
        <v>193</v>
      </c>
      <c r="K16" s="12">
        <v>121</v>
      </c>
      <c r="L16" s="12">
        <v>90</v>
      </c>
      <c r="M16" s="12">
        <v>169</v>
      </c>
      <c r="N16" s="12">
        <v>103</v>
      </c>
      <c r="O16" s="12">
        <v>62</v>
      </c>
      <c r="P16" s="12">
        <v>153</v>
      </c>
      <c r="Q16" s="12">
        <v>162</v>
      </c>
      <c r="R16" s="12">
        <v>116</v>
      </c>
      <c r="S16" s="12"/>
      <c r="T16"/>
      <c r="U16"/>
      <c r="V16"/>
      <c r="W16"/>
      <c r="X16"/>
      <c r="Y16"/>
      <c r="Z16"/>
      <c r="AA16"/>
    </row>
    <row r="17" spans="2:27" ht="12.75" customHeight="1">
      <c r="B17" s="3" t="s">
        <v>33</v>
      </c>
      <c r="C17" s="12">
        <v>-755</v>
      </c>
      <c r="D17" s="12">
        <v>-936</v>
      </c>
      <c r="E17" s="12">
        <v>-636</v>
      </c>
      <c r="F17" s="12">
        <v>-649</v>
      </c>
      <c r="G17" s="12">
        <v>-435</v>
      </c>
      <c r="H17" s="12">
        <v>-433</v>
      </c>
      <c r="I17" s="12">
        <v>-520</v>
      </c>
      <c r="J17" s="12">
        <v>-663</v>
      </c>
      <c r="K17" s="12">
        <v>-272</v>
      </c>
      <c r="L17" s="12">
        <v>-276</v>
      </c>
      <c r="M17" s="12">
        <v>-338</v>
      </c>
      <c r="N17" s="12">
        <v>-239</v>
      </c>
      <c r="O17" s="12">
        <v>-428</v>
      </c>
      <c r="P17" s="12">
        <v>-202</v>
      </c>
      <c r="Q17" s="12">
        <v>-324</v>
      </c>
      <c r="R17" s="12">
        <v>-341</v>
      </c>
      <c r="S17" s="12"/>
      <c r="T17"/>
      <c r="U17"/>
      <c r="V17"/>
      <c r="W17"/>
      <c r="X17"/>
      <c r="Y17"/>
      <c r="Z17"/>
      <c r="AA17"/>
    </row>
    <row r="18" spans="2:27" ht="12.75" customHeight="1">
      <c r="B18" s="3" t="s">
        <v>34</v>
      </c>
      <c r="C18" s="12">
        <v>-47</v>
      </c>
      <c r="D18" s="12">
        <v>-373</v>
      </c>
      <c r="E18" s="12">
        <v>146</v>
      </c>
      <c r="F18" s="12">
        <v>-455</v>
      </c>
      <c r="G18" s="12">
        <v>-311</v>
      </c>
      <c r="H18" s="12">
        <v>-203</v>
      </c>
      <c r="I18" s="12">
        <v>-330</v>
      </c>
      <c r="J18" s="12">
        <v>-470</v>
      </c>
      <c r="K18" s="12">
        <v>-151</v>
      </c>
      <c r="L18" s="12">
        <v>-186</v>
      </c>
      <c r="M18" s="12">
        <v>-169</v>
      </c>
      <c r="N18" s="12">
        <v>-136</v>
      </c>
      <c r="O18" s="12">
        <v>-366</v>
      </c>
      <c r="P18" s="12">
        <v>-47</v>
      </c>
      <c r="Q18" s="12">
        <v>-158</v>
      </c>
      <c r="R18" s="12">
        <v>-199</v>
      </c>
      <c r="S18" s="12"/>
      <c r="T18"/>
      <c r="U18"/>
      <c r="V18"/>
      <c r="W18"/>
      <c r="X18"/>
      <c r="Y18"/>
      <c r="Z18"/>
      <c r="AA18"/>
    </row>
    <row r="19" spans="2:27" ht="12.75" customHeight="1">
      <c r="B19" s="3" t="s">
        <v>35</v>
      </c>
      <c r="C19" s="12">
        <v>8019</v>
      </c>
      <c r="D19" s="12">
        <v>5289</v>
      </c>
      <c r="E19" s="12">
        <v>4418</v>
      </c>
      <c r="F19" s="12">
        <v>2819</v>
      </c>
      <c r="G19" s="12">
        <v>2577</v>
      </c>
      <c r="H19" s="12">
        <v>1112</v>
      </c>
      <c r="I19" s="12">
        <v>2607</v>
      </c>
      <c r="J19" s="12">
        <v>1796</v>
      </c>
      <c r="K19" s="12">
        <v>2099</v>
      </c>
      <c r="L19" s="12">
        <v>1611</v>
      </c>
      <c r="M19" s="12">
        <v>1731</v>
      </c>
      <c r="N19" s="12">
        <v>1523</v>
      </c>
      <c r="O19" s="12">
        <v>979</v>
      </c>
      <c r="P19" s="12">
        <v>2003</v>
      </c>
      <c r="Q19" s="12">
        <v>2783</v>
      </c>
      <c r="R19" s="12">
        <v>776</v>
      </c>
      <c r="S19" s="12"/>
      <c r="T19"/>
      <c r="U19"/>
      <c r="V19"/>
      <c r="W19"/>
      <c r="X19"/>
      <c r="Y19"/>
      <c r="Z19"/>
      <c r="AA19"/>
    </row>
    <row r="20" spans="2:27" ht="12.75" customHeight="1">
      <c r="B20" s="3" t="s">
        <v>36</v>
      </c>
      <c r="C20" s="12">
        <v>-1663</v>
      </c>
      <c r="D20" s="12">
        <v>-1079</v>
      </c>
      <c r="E20" s="12">
        <v>-975</v>
      </c>
      <c r="F20" s="12">
        <v>-536</v>
      </c>
      <c r="G20" s="12">
        <v>-552</v>
      </c>
      <c r="H20" s="12">
        <v>-20</v>
      </c>
      <c r="I20" s="12">
        <v>-582</v>
      </c>
      <c r="J20" s="12">
        <v>-430</v>
      </c>
      <c r="K20" s="12">
        <v>-591</v>
      </c>
      <c r="L20" s="12">
        <v>-436</v>
      </c>
      <c r="M20" s="12">
        <v>-329</v>
      </c>
      <c r="N20" s="12">
        <v>-355</v>
      </c>
      <c r="O20" s="12">
        <v>-237</v>
      </c>
      <c r="P20" s="12">
        <v>-443</v>
      </c>
      <c r="Q20" s="12">
        <v>-566</v>
      </c>
      <c r="R20" s="12">
        <v>-322</v>
      </c>
      <c r="S20" s="12"/>
      <c r="T20"/>
      <c r="U20"/>
      <c r="V20"/>
      <c r="W20"/>
      <c r="X20"/>
      <c r="Y20"/>
      <c r="Z20"/>
      <c r="AA20"/>
    </row>
    <row r="21" spans="2:27" ht="12.75" customHeight="1">
      <c r="B21" s="3" t="s">
        <v>10</v>
      </c>
      <c r="C21" s="12">
        <v>6356</v>
      </c>
      <c r="D21" s="12">
        <v>4210</v>
      </c>
      <c r="E21" s="12">
        <v>3443</v>
      </c>
      <c r="F21" s="12">
        <v>2283</v>
      </c>
      <c r="G21" s="12">
        <v>2025</v>
      </c>
      <c r="H21" s="12">
        <v>1092</v>
      </c>
      <c r="I21" s="12">
        <v>2025</v>
      </c>
      <c r="J21" s="12">
        <v>1366</v>
      </c>
      <c r="K21" s="12">
        <v>1508</v>
      </c>
      <c r="L21" s="12">
        <v>1175</v>
      </c>
      <c r="M21" s="12">
        <v>1402</v>
      </c>
      <c r="N21" s="12">
        <v>1168</v>
      </c>
      <c r="O21" s="12">
        <v>742</v>
      </c>
      <c r="P21" s="12">
        <v>1560</v>
      </c>
      <c r="Q21" s="12">
        <v>2217</v>
      </c>
      <c r="R21" s="12">
        <v>454</v>
      </c>
      <c r="S21" s="12"/>
      <c r="T21"/>
      <c r="U21"/>
      <c r="V21"/>
      <c r="W21"/>
      <c r="X21"/>
      <c r="Y21"/>
      <c r="Z21"/>
      <c r="AA21"/>
    </row>
    <row r="22" spans="2:27" ht="12.75" customHeight="1">
      <c r="B22" s="3" t="s">
        <v>37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/>
      <c r="U22"/>
      <c r="V22"/>
      <c r="W22"/>
      <c r="X22"/>
      <c r="Y22"/>
      <c r="Z22"/>
      <c r="AA22"/>
    </row>
    <row r="23" spans="2:27" ht="12.75" customHeight="1">
      <c r="B23" s="3" t="s">
        <v>108</v>
      </c>
      <c r="C23" s="12">
        <v>6314</v>
      </c>
      <c r="D23" s="12">
        <v>4171</v>
      </c>
      <c r="E23" s="12">
        <v>3381</v>
      </c>
      <c r="F23" s="12">
        <v>2195</v>
      </c>
      <c r="G23" s="12">
        <v>1926</v>
      </c>
      <c r="H23" s="12">
        <v>1073</v>
      </c>
      <c r="I23" s="12">
        <v>1983</v>
      </c>
      <c r="J23" s="12">
        <v>1313</v>
      </c>
      <c r="K23" s="12">
        <v>1477</v>
      </c>
      <c r="L23" s="12">
        <v>1133</v>
      </c>
      <c r="M23" s="12">
        <v>1362</v>
      </c>
      <c r="N23" s="12">
        <v>1153</v>
      </c>
      <c r="O23" s="12">
        <v>741</v>
      </c>
      <c r="P23" s="12">
        <v>1585</v>
      </c>
      <c r="Q23" s="12">
        <v>2225</v>
      </c>
      <c r="R23" s="12">
        <v>433</v>
      </c>
      <c r="S23" s="12"/>
      <c r="T23"/>
      <c r="U23"/>
      <c r="V23"/>
      <c r="W23"/>
      <c r="X23"/>
      <c r="Y23"/>
      <c r="Z23"/>
      <c r="AA23"/>
    </row>
    <row r="24" spans="2:27" ht="12.75" customHeight="1">
      <c r="B24" s="3" t="s">
        <v>67</v>
      </c>
      <c r="C24" s="12">
        <v>42</v>
      </c>
      <c r="D24" s="12">
        <v>39</v>
      </c>
      <c r="E24" s="12">
        <v>62</v>
      </c>
      <c r="F24" s="12">
        <v>88</v>
      </c>
      <c r="G24" s="12">
        <v>99</v>
      </c>
      <c r="H24" s="12">
        <v>19</v>
      </c>
      <c r="I24" s="12">
        <v>42</v>
      </c>
      <c r="J24" s="12">
        <v>53</v>
      </c>
      <c r="K24" s="12">
        <v>31</v>
      </c>
      <c r="L24" s="12">
        <v>42</v>
      </c>
      <c r="M24" s="12">
        <v>40</v>
      </c>
      <c r="N24" s="12">
        <v>15</v>
      </c>
      <c r="O24" s="12">
        <v>1</v>
      </c>
      <c r="P24" s="12">
        <v>-25</v>
      </c>
      <c r="Q24" s="12">
        <v>-8</v>
      </c>
      <c r="R24" s="12">
        <v>21</v>
      </c>
      <c r="S24" s="12"/>
      <c r="T24"/>
      <c r="U24"/>
      <c r="V24"/>
      <c r="W24"/>
      <c r="X24"/>
      <c r="Y24"/>
      <c r="Z24"/>
      <c r="AA24"/>
    </row>
    <row r="25" spans="2:27" ht="12.75" customHeight="1">
      <c r="B25" s="3" t="s">
        <v>166</v>
      </c>
      <c r="C25">
        <v>11.77</v>
      </c>
      <c r="D25">
        <v>7.81</v>
      </c>
      <c r="E25">
        <v>6.36</v>
      </c>
      <c r="F25" s="14">
        <v>4.1500000000000004</v>
      </c>
      <c r="G25">
        <v>3.64</v>
      </c>
      <c r="H25" s="39">
        <v>2.02</v>
      </c>
      <c r="I25" s="39">
        <f>14.88/4</f>
        <v>3.72</v>
      </c>
      <c r="J25" s="38">
        <f>11.27/4</f>
        <v>2.8174999999999999</v>
      </c>
      <c r="K25" s="38">
        <f>12.79/4</f>
        <v>3.1974999999999998</v>
      </c>
      <c r="L25" s="38">
        <f>9.85/4</f>
        <v>2.4624999999999999</v>
      </c>
      <c r="M25" s="55">
        <f>11.9/4</f>
        <v>2.9750000000000001</v>
      </c>
      <c r="N25" s="38">
        <f>10.03/4</f>
        <v>2.5074999999999998</v>
      </c>
      <c r="O25" s="38">
        <f>6.45/4</f>
        <v>1.6125</v>
      </c>
      <c r="P25" s="38">
        <f>13.86/4</f>
        <v>3.4649999999999999</v>
      </c>
      <c r="Q25" s="38">
        <f>19.57/4</f>
        <v>4.8925000000000001</v>
      </c>
      <c r="R25" s="55">
        <f>3.8/4</f>
        <v>0.95</v>
      </c>
      <c r="S25" s="12"/>
      <c r="T25"/>
      <c r="U25"/>
      <c r="V25"/>
      <c r="W25"/>
      <c r="X25"/>
      <c r="Y25"/>
      <c r="Z25"/>
      <c r="AA25"/>
    </row>
    <row r="26" spans="2:27" ht="12.75" customHeight="1">
      <c r="B26" s="3" t="s">
        <v>167</v>
      </c>
      <c r="C26" s="14">
        <v>11.7</v>
      </c>
      <c r="D26">
        <v>7.74</v>
      </c>
      <c r="E26">
        <v>6.29</v>
      </c>
      <c r="F26" s="14">
        <v>4.0999999999999996</v>
      </c>
      <c r="G26">
        <v>3.61</v>
      </c>
      <c r="H26" s="38">
        <v>2</v>
      </c>
      <c r="I26" s="38">
        <f>14.81/4</f>
        <v>3.7025000000000001</v>
      </c>
      <c r="J26" s="38">
        <f>11.21/4</f>
        <v>2.8025000000000002</v>
      </c>
      <c r="K26" s="38">
        <f>12.7/4</f>
        <v>3.1749999999999998</v>
      </c>
      <c r="L26" s="38">
        <f>9.79/4</f>
        <v>2.4474999999999998</v>
      </c>
      <c r="M26" s="38">
        <f>11.81/4</f>
        <v>2.9525000000000001</v>
      </c>
      <c r="N26" s="38">
        <f>9.96/4</f>
        <v>2.4900000000000002</v>
      </c>
      <c r="O26" s="38">
        <f>6.27/4</f>
        <v>1.5674999999999999</v>
      </c>
      <c r="P26" s="38">
        <f>13.41/4</f>
        <v>3.3525</v>
      </c>
      <c r="Q26" s="38">
        <f>18.82/4</f>
        <v>4.7050000000000001</v>
      </c>
      <c r="R26" s="38">
        <f>3.66/4</f>
        <v>0.91500000000000004</v>
      </c>
      <c r="S26" s="12"/>
      <c r="T26"/>
      <c r="U26"/>
      <c r="V26"/>
      <c r="W26"/>
      <c r="X26"/>
      <c r="Y26"/>
      <c r="Z26"/>
      <c r="AA26"/>
    </row>
    <row r="27" spans="2:27" ht="12.75" customHeight="1">
      <c r="H27" s="53"/>
      <c r="I27" s="28"/>
      <c r="J27" s="2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2:27" ht="12.75" customHeight="1">
      <c r="B28" s="5" t="s">
        <v>165</v>
      </c>
      <c r="C28" s="47"/>
      <c r="D28" s="47"/>
      <c r="E28" s="47"/>
      <c r="F28" s="47"/>
      <c r="G28" s="47"/>
      <c r="H28" s="28"/>
      <c r="I28" s="28"/>
      <c r="J28" s="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2:27" ht="12.75" customHeight="1">
      <c r="B29" s="43"/>
      <c r="C29" s="49"/>
      <c r="D29" s="49"/>
      <c r="E29" s="49"/>
      <c r="F29" s="49"/>
      <c r="G29" s="49"/>
      <c r="H29" s="28"/>
      <c r="I29" s="28"/>
      <c r="J29" s="28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2:27" ht="12.75" customHeight="1">
      <c r="B30" s="43"/>
      <c r="C30" s="49"/>
      <c r="D30" s="49"/>
      <c r="E30" s="49"/>
      <c r="F30" s="49"/>
      <c r="G30" s="49"/>
      <c r="H30" s="28"/>
      <c r="I30" s="28"/>
      <c r="J30" s="28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2:27">
      <c r="B31" s="43"/>
      <c r="C31" s="49"/>
      <c r="D31" s="49"/>
      <c r="E31" s="49"/>
      <c r="F31" s="49"/>
      <c r="G31" s="49"/>
    </row>
    <row r="32" spans="2:27">
      <c r="B32" s="43"/>
      <c r="C32" s="49"/>
      <c r="D32" s="49"/>
      <c r="E32" s="49"/>
      <c r="F32" s="49"/>
      <c r="G32" s="49"/>
    </row>
    <row r="33" spans="2:9">
      <c r="B33" s="43"/>
      <c r="C33" s="49"/>
      <c r="D33" s="49"/>
      <c r="E33" s="49"/>
      <c r="F33" s="49"/>
      <c r="G33" s="49"/>
      <c r="I33" s="54"/>
    </row>
    <row r="34" spans="2:9">
      <c r="B34" s="43"/>
      <c r="C34" s="49"/>
      <c r="D34" s="49"/>
      <c r="E34" s="49"/>
      <c r="F34" s="49"/>
      <c r="G34" s="49"/>
    </row>
  </sheetData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>
    <outlinePr summaryBelow="0" summaryRight="0"/>
    <pageSetUpPr fitToPage="1"/>
  </sheetPr>
  <dimension ref="B1:AA61"/>
  <sheetViews>
    <sheetView showGridLines="0" topLeftCell="B1" zoomScale="120" zoomScaleNormal="120" workbookViewId="0">
      <pane ySplit="3" topLeftCell="A4" activePane="bottomLeft" state="frozen"/>
      <selection activeCell="C4" sqref="C4"/>
      <selection pane="bottomLeft" activeCell="C3" sqref="C3"/>
    </sheetView>
  </sheetViews>
  <sheetFormatPr defaultRowHeight="12.5"/>
  <cols>
    <col min="1" max="1" width="0" hidden="1" customWidth="1"/>
    <col min="2" max="2" width="47.81640625" style="3" customWidth="1"/>
    <col min="3" max="6" width="9.1796875" style="3" customWidth="1"/>
    <col min="7" max="7" width="9.1796875" customWidth="1"/>
    <col min="8" max="11" width="9.1796875" style="29"/>
    <col min="12" max="19" width="9.1796875" style="18"/>
    <col min="20" max="27" width="9.1796875" style="2"/>
  </cols>
  <sheetData>
    <row r="1" spans="2:27" ht="23">
      <c r="B1" s="1" t="s">
        <v>120</v>
      </c>
      <c r="C1" s="1"/>
      <c r="D1" s="1"/>
      <c r="E1" s="1"/>
      <c r="F1" s="1"/>
      <c r="G1" s="45"/>
      <c r="R1" s="17"/>
      <c r="S1" s="17"/>
      <c r="T1"/>
      <c r="U1"/>
      <c r="V1"/>
      <c r="W1"/>
      <c r="X1"/>
      <c r="Y1"/>
      <c r="Z1"/>
      <c r="AA1"/>
    </row>
    <row r="2" spans="2:27" ht="23.25" customHeight="1">
      <c r="B2" s="4" t="s">
        <v>117</v>
      </c>
      <c r="C2" s="4"/>
      <c r="D2" s="4"/>
      <c r="E2" s="4"/>
      <c r="F2" s="4"/>
      <c r="G2" s="46"/>
      <c r="M2" s="19"/>
      <c r="N2" s="19"/>
      <c r="O2" s="19"/>
      <c r="P2" s="19"/>
      <c r="Q2" s="19"/>
      <c r="R2" s="19"/>
      <c r="S2" s="19"/>
      <c r="T2"/>
      <c r="U2"/>
      <c r="V2"/>
      <c r="W2"/>
      <c r="X2"/>
      <c r="Y2"/>
      <c r="Z2"/>
      <c r="AA2"/>
    </row>
    <row r="3" spans="2:27" s="7" customFormat="1">
      <c r="B3" s="8" t="s">
        <v>39</v>
      </c>
      <c r="C3" s="52" t="s">
        <v>164</v>
      </c>
      <c r="D3" s="52" t="s">
        <v>152</v>
      </c>
      <c r="E3" s="52" t="s">
        <v>151</v>
      </c>
      <c r="F3" s="52" t="s">
        <v>148</v>
      </c>
      <c r="G3" s="52" t="s">
        <v>146</v>
      </c>
      <c r="H3" s="20" t="s">
        <v>145</v>
      </c>
      <c r="I3" s="20" t="s">
        <v>139</v>
      </c>
      <c r="J3" s="20" t="s">
        <v>134</v>
      </c>
      <c r="K3" s="20" t="s">
        <v>134</v>
      </c>
      <c r="L3" s="20" t="s">
        <v>126</v>
      </c>
      <c r="M3" s="20" t="s">
        <v>121</v>
      </c>
      <c r="N3" s="20">
        <v>2015</v>
      </c>
      <c r="O3" s="20">
        <v>2014</v>
      </c>
      <c r="P3" s="20">
        <v>2013</v>
      </c>
      <c r="Q3" s="20">
        <v>2012</v>
      </c>
      <c r="R3" s="20">
        <v>2011</v>
      </c>
      <c r="S3" s="20">
        <v>2010</v>
      </c>
    </row>
    <row r="4" spans="2:27" ht="13">
      <c r="B4" s="3" t="s">
        <v>40</v>
      </c>
      <c r="I4" s="32"/>
      <c r="J4" s="32"/>
      <c r="K4" s="32"/>
      <c r="L4" s="32"/>
      <c r="M4" s="21"/>
      <c r="N4" s="21"/>
      <c r="O4" s="21"/>
      <c r="P4" s="21"/>
      <c r="Q4" s="21"/>
      <c r="R4" s="21"/>
      <c r="S4" s="21"/>
      <c r="T4"/>
      <c r="U4"/>
      <c r="V4"/>
      <c r="W4"/>
      <c r="X4"/>
      <c r="Y4"/>
      <c r="Z4"/>
      <c r="AA4"/>
    </row>
    <row r="5" spans="2:27">
      <c r="B5" s="3" t="s">
        <v>41</v>
      </c>
      <c r="I5" s="33"/>
      <c r="J5" s="33"/>
      <c r="K5" s="33"/>
      <c r="L5" s="33"/>
      <c r="M5" s="15"/>
      <c r="N5" s="17"/>
      <c r="O5" s="17"/>
      <c r="P5" s="17"/>
      <c r="Q5" s="17"/>
      <c r="R5" s="17"/>
      <c r="S5" s="17"/>
      <c r="T5"/>
      <c r="U5"/>
      <c r="V5"/>
      <c r="W5"/>
      <c r="X5"/>
      <c r="Y5"/>
      <c r="Z5"/>
      <c r="AA5"/>
    </row>
    <row r="6" spans="2:27">
      <c r="B6" s="3" t="s">
        <v>42</v>
      </c>
      <c r="C6" s="12">
        <v>12585</v>
      </c>
      <c r="D6" s="12">
        <v>12998</v>
      </c>
      <c r="E6" s="12">
        <v>12941</v>
      </c>
      <c r="F6" s="12">
        <v>12248</v>
      </c>
      <c r="G6" s="12">
        <v>12162</v>
      </c>
      <c r="H6" s="31">
        <v>11520</v>
      </c>
      <c r="I6" s="31">
        <v>10465</v>
      </c>
      <c r="J6" s="31">
        <v>9057</v>
      </c>
      <c r="K6" s="31">
        <v>9057</v>
      </c>
      <c r="L6" s="31">
        <v>7862</v>
      </c>
      <c r="M6" s="16">
        <v>7094</v>
      </c>
      <c r="N6" s="16">
        <v>6476</v>
      </c>
      <c r="O6" s="16">
        <v>6351</v>
      </c>
      <c r="P6" s="16">
        <v>6340</v>
      </c>
      <c r="Q6" s="16">
        <v>6849</v>
      </c>
      <c r="R6" s="16">
        <v>6699</v>
      </c>
      <c r="S6" s="16">
        <v>6413</v>
      </c>
      <c r="T6"/>
      <c r="U6"/>
      <c r="V6"/>
      <c r="W6"/>
      <c r="X6"/>
      <c r="Y6"/>
      <c r="Z6"/>
      <c r="AA6"/>
    </row>
    <row r="7" spans="2:27">
      <c r="B7" s="3" t="s">
        <v>43</v>
      </c>
      <c r="C7" s="12">
        <v>16882</v>
      </c>
      <c r="D7" s="12">
        <v>12484</v>
      </c>
      <c r="E7" s="12">
        <v>9501</v>
      </c>
      <c r="F7" s="12">
        <v>7965</v>
      </c>
      <c r="G7" s="12">
        <v>7147</v>
      </c>
      <c r="H7" s="31">
        <v>6608</v>
      </c>
      <c r="I7" s="31">
        <v>6223</v>
      </c>
      <c r="J7" s="31">
        <v>6129</v>
      </c>
      <c r="K7" s="31">
        <v>6129</v>
      </c>
      <c r="L7" s="31">
        <v>5311</v>
      </c>
      <c r="M7" s="16">
        <v>4811</v>
      </c>
      <c r="N7" s="16">
        <v>4472</v>
      </c>
      <c r="O7" s="16">
        <v>3702</v>
      </c>
      <c r="P7" s="16">
        <v>3239</v>
      </c>
      <c r="Q7" s="16">
        <v>3162</v>
      </c>
      <c r="R7" s="16">
        <v>3272</v>
      </c>
      <c r="S7" s="16">
        <v>3052</v>
      </c>
      <c r="T7"/>
      <c r="U7"/>
      <c r="V7"/>
      <c r="W7"/>
      <c r="X7"/>
      <c r="Y7"/>
      <c r="Z7"/>
      <c r="AA7"/>
    </row>
    <row r="8" spans="2:27">
      <c r="B8" s="3" t="s">
        <v>44</v>
      </c>
      <c r="C8" s="36" t="s">
        <v>38</v>
      </c>
      <c r="D8" s="36" t="s">
        <v>38</v>
      </c>
      <c r="E8" s="31" t="s">
        <v>38</v>
      </c>
      <c r="F8" s="31" t="s">
        <v>38</v>
      </c>
      <c r="G8" s="31" t="s">
        <v>38</v>
      </c>
      <c r="H8" s="31" t="s">
        <v>38</v>
      </c>
      <c r="I8" s="31" t="s">
        <v>38</v>
      </c>
      <c r="J8" s="31" t="s">
        <v>38</v>
      </c>
      <c r="K8" s="31" t="s">
        <v>38</v>
      </c>
      <c r="L8" s="31" t="s">
        <v>38</v>
      </c>
      <c r="M8" s="16" t="s">
        <v>38</v>
      </c>
      <c r="N8" s="22" t="s">
        <v>38</v>
      </c>
      <c r="O8" s="16" t="s">
        <v>38</v>
      </c>
      <c r="P8" s="16">
        <v>197</v>
      </c>
      <c r="Q8" s="16">
        <v>304</v>
      </c>
      <c r="R8" s="16">
        <v>771</v>
      </c>
      <c r="S8" s="16">
        <v>1154</v>
      </c>
      <c r="T8"/>
      <c r="U8"/>
      <c r="V8"/>
      <c r="W8"/>
      <c r="X8"/>
      <c r="Y8"/>
      <c r="Z8"/>
      <c r="AA8"/>
    </row>
    <row r="9" spans="2:27">
      <c r="B9" s="3" t="s">
        <v>45</v>
      </c>
      <c r="C9" s="12">
        <v>406</v>
      </c>
      <c r="D9" s="12">
        <v>414</v>
      </c>
      <c r="E9" s="12">
        <v>414</v>
      </c>
      <c r="F9" s="12">
        <v>408</v>
      </c>
      <c r="G9" s="12">
        <v>385</v>
      </c>
      <c r="H9" s="31">
        <v>376</v>
      </c>
      <c r="I9" s="31">
        <v>368</v>
      </c>
      <c r="J9" s="31">
        <v>349</v>
      </c>
      <c r="K9" s="31">
        <v>349</v>
      </c>
      <c r="L9" s="31">
        <v>352</v>
      </c>
      <c r="M9" s="16">
        <v>291</v>
      </c>
      <c r="N9" s="16">
        <v>290</v>
      </c>
      <c r="O9" s="16">
        <v>289</v>
      </c>
      <c r="P9" s="16">
        <v>296</v>
      </c>
      <c r="Q9" s="16">
        <v>306</v>
      </c>
      <c r="R9" s="16">
        <v>305</v>
      </c>
      <c r="S9" s="16">
        <v>299</v>
      </c>
      <c r="T9"/>
      <c r="U9"/>
      <c r="V9"/>
      <c r="W9"/>
      <c r="X9"/>
      <c r="Y9"/>
      <c r="Z9"/>
      <c r="AA9"/>
    </row>
    <row r="10" spans="2:27">
      <c r="B10" s="3" t="s">
        <v>140</v>
      </c>
      <c r="C10" s="12">
        <v>4764</v>
      </c>
      <c r="D10" s="12">
        <v>2881</v>
      </c>
      <c r="E10" s="12">
        <v>2554</v>
      </c>
      <c r="F10" s="12">
        <v>2682</v>
      </c>
      <c r="G10" s="12">
        <v>2472</v>
      </c>
      <c r="H10" s="31">
        <v>2516</v>
      </c>
      <c r="I10" s="31">
        <v>2549</v>
      </c>
      <c r="J10" s="31" t="s">
        <v>38</v>
      </c>
      <c r="K10" s="31" t="s">
        <v>38</v>
      </c>
      <c r="L10" s="31" t="s">
        <v>38</v>
      </c>
      <c r="M10" s="31" t="s">
        <v>38</v>
      </c>
      <c r="N10" s="31" t="s">
        <v>38</v>
      </c>
      <c r="O10" s="31" t="s">
        <v>38</v>
      </c>
      <c r="P10" s="31" t="s">
        <v>38</v>
      </c>
      <c r="Q10" s="31" t="s">
        <v>38</v>
      </c>
      <c r="R10" s="31" t="s">
        <v>38</v>
      </c>
      <c r="S10" s="31" t="s">
        <v>38</v>
      </c>
      <c r="T10"/>
      <c r="U10"/>
      <c r="V10"/>
      <c r="W10"/>
      <c r="X10"/>
      <c r="Y10"/>
      <c r="Z10"/>
      <c r="AA10"/>
    </row>
    <row r="11" spans="2:27">
      <c r="B11" s="3" t="s">
        <v>46</v>
      </c>
      <c r="C11" s="36" t="s">
        <v>38</v>
      </c>
      <c r="D11" s="36" t="s">
        <v>38</v>
      </c>
      <c r="E11" s="31" t="s">
        <v>38</v>
      </c>
      <c r="F11" s="31" t="s">
        <v>38</v>
      </c>
      <c r="G11" s="31" t="s">
        <v>38</v>
      </c>
      <c r="H11" s="31" t="s">
        <v>38</v>
      </c>
      <c r="I11" s="31" t="s">
        <v>38</v>
      </c>
      <c r="J11" s="31" t="s">
        <v>38</v>
      </c>
      <c r="K11" s="31" t="s">
        <v>38</v>
      </c>
      <c r="L11" s="31" t="s">
        <v>38</v>
      </c>
      <c r="M11" s="16">
        <v>33</v>
      </c>
      <c r="N11" s="16">
        <v>34</v>
      </c>
      <c r="O11" s="16">
        <v>33</v>
      </c>
      <c r="P11" s="16">
        <v>31</v>
      </c>
      <c r="Q11" s="16">
        <v>33</v>
      </c>
      <c r="R11" s="16">
        <v>224</v>
      </c>
      <c r="S11" s="16">
        <v>236</v>
      </c>
      <c r="T11"/>
      <c r="U11"/>
      <c r="V11"/>
      <c r="W11"/>
      <c r="X11"/>
      <c r="Y11"/>
      <c r="Z11"/>
      <c r="AA11"/>
    </row>
    <row r="12" spans="2:27">
      <c r="B12" s="3" t="s">
        <v>47</v>
      </c>
      <c r="C12" s="12">
        <v>356</v>
      </c>
      <c r="D12" s="12">
        <v>315</v>
      </c>
      <c r="E12" s="12">
        <v>253</v>
      </c>
      <c r="F12" s="12">
        <v>343</v>
      </c>
      <c r="G12" s="12">
        <v>404</v>
      </c>
      <c r="H12" s="31">
        <v>496</v>
      </c>
      <c r="I12" s="31">
        <v>672</v>
      </c>
      <c r="J12" s="31">
        <v>646</v>
      </c>
      <c r="K12" s="31">
        <v>646</v>
      </c>
      <c r="L12" s="31">
        <v>700</v>
      </c>
      <c r="M12" s="16">
        <v>788</v>
      </c>
      <c r="N12" s="16">
        <v>602</v>
      </c>
      <c r="O12" s="16">
        <v>397</v>
      </c>
      <c r="P12" s="16">
        <v>367</v>
      </c>
      <c r="Q12" s="16">
        <v>300</v>
      </c>
      <c r="R12" s="16">
        <v>288</v>
      </c>
      <c r="S12" s="16">
        <v>251</v>
      </c>
      <c r="T12"/>
      <c r="U12"/>
      <c r="V12"/>
      <c r="W12"/>
      <c r="X12"/>
      <c r="Y12"/>
      <c r="Z12"/>
      <c r="AA12"/>
    </row>
    <row r="13" spans="2:27">
      <c r="B13" s="3" t="s">
        <v>48</v>
      </c>
      <c r="C13" s="12">
        <v>2990</v>
      </c>
      <c r="D13" s="12">
        <v>2763</v>
      </c>
      <c r="E13" s="12">
        <v>1102</v>
      </c>
      <c r="F13" s="12">
        <v>118</v>
      </c>
      <c r="G13" s="12">
        <v>37</v>
      </c>
      <c r="H13" s="31">
        <v>30</v>
      </c>
      <c r="I13" s="31">
        <v>26</v>
      </c>
      <c r="J13" s="31">
        <v>27</v>
      </c>
      <c r="K13" s="31">
        <v>27</v>
      </c>
      <c r="L13" s="31">
        <v>26</v>
      </c>
      <c r="M13" s="16">
        <v>165</v>
      </c>
      <c r="N13" s="16">
        <v>190</v>
      </c>
      <c r="O13" s="16">
        <v>292</v>
      </c>
      <c r="P13" s="16">
        <v>295</v>
      </c>
      <c r="Q13" s="16">
        <v>193</v>
      </c>
      <c r="R13" s="16">
        <v>197</v>
      </c>
      <c r="S13" s="16">
        <v>203</v>
      </c>
      <c r="T13"/>
      <c r="U13"/>
      <c r="V13"/>
      <c r="W13"/>
      <c r="X13"/>
      <c r="Y13"/>
      <c r="Z13"/>
      <c r="AA13"/>
    </row>
    <row r="14" spans="2:27">
      <c r="B14" s="3" t="s">
        <v>153</v>
      </c>
      <c r="C14" s="12">
        <v>3321</v>
      </c>
      <c r="D14" s="12">
        <v>1610</v>
      </c>
      <c r="E14" s="12" t="s">
        <v>38</v>
      </c>
      <c r="F14" s="12" t="s">
        <v>38</v>
      </c>
      <c r="G14" s="12" t="s">
        <v>38</v>
      </c>
      <c r="H14" s="12" t="s">
        <v>38</v>
      </c>
      <c r="I14" s="12" t="s">
        <v>38</v>
      </c>
      <c r="J14" s="12" t="s">
        <v>38</v>
      </c>
      <c r="K14" s="12" t="s">
        <v>38</v>
      </c>
      <c r="L14" s="12" t="s">
        <v>38</v>
      </c>
      <c r="M14" s="12" t="s">
        <v>38</v>
      </c>
      <c r="N14" s="12" t="s">
        <v>38</v>
      </c>
      <c r="O14" s="12" t="s">
        <v>38</v>
      </c>
      <c r="P14" s="12" t="s">
        <v>38</v>
      </c>
      <c r="Q14" s="12" t="s">
        <v>38</v>
      </c>
      <c r="R14" s="12" t="s">
        <v>38</v>
      </c>
      <c r="S14" s="12" t="s">
        <v>38</v>
      </c>
      <c r="T14"/>
      <c r="U14"/>
      <c r="V14"/>
      <c r="W14"/>
      <c r="X14"/>
      <c r="Y14"/>
      <c r="Z14"/>
      <c r="AA14"/>
    </row>
    <row r="15" spans="2:27">
      <c r="B15" s="3" t="s">
        <v>49</v>
      </c>
      <c r="C15" s="12">
        <v>410</v>
      </c>
      <c r="D15" s="12">
        <v>435</v>
      </c>
      <c r="E15" s="12">
        <v>515</v>
      </c>
      <c r="F15" s="12">
        <v>695</v>
      </c>
      <c r="G15" s="12">
        <v>595</v>
      </c>
      <c r="H15" s="31">
        <v>617</v>
      </c>
      <c r="I15" s="31">
        <v>752</v>
      </c>
      <c r="J15" s="31">
        <v>554</v>
      </c>
      <c r="K15" s="31">
        <v>554</v>
      </c>
      <c r="L15" s="31">
        <v>662</v>
      </c>
      <c r="M15" s="16">
        <v>505</v>
      </c>
      <c r="N15" s="16">
        <v>444</v>
      </c>
      <c r="O15" s="16">
        <v>152</v>
      </c>
      <c r="P15" s="16">
        <v>122</v>
      </c>
      <c r="Q15" s="16">
        <v>138</v>
      </c>
      <c r="R15" s="16">
        <v>1046</v>
      </c>
      <c r="S15" s="16">
        <v>856</v>
      </c>
      <c r="T15"/>
      <c r="U15"/>
      <c r="V15"/>
      <c r="W15"/>
      <c r="X15"/>
      <c r="Y15"/>
      <c r="Z15"/>
      <c r="AA15"/>
    </row>
    <row r="16" spans="2:27">
      <c r="B16" s="3" t="s">
        <v>50</v>
      </c>
      <c r="C16" s="12">
        <v>412</v>
      </c>
      <c r="D16" s="12">
        <v>521</v>
      </c>
      <c r="E16" s="12">
        <v>482</v>
      </c>
      <c r="F16" s="12">
        <v>403</v>
      </c>
      <c r="G16" s="12">
        <v>305</v>
      </c>
      <c r="H16" s="31">
        <v>231</v>
      </c>
      <c r="I16" s="31">
        <v>266</v>
      </c>
      <c r="J16" s="31">
        <v>382</v>
      </c>
      <c r="K16" s="31">
        <v>382</v>
      </c>
      <c r="L16" s="31">
        <v>238</v>
      </c>
      <c r="M16" s="16">
        <v>252</v>
      </c>
      <c r="N16" s="16">
        <v>351</v>
      </c>
      <c r="O16" s="16">
        <v>656</v>
      </c>
      <c r="P16" s="16">
        <v>239</v>
      </c>
      <c r="Q16" s="16">
        <v>213</v>
      </c>
      <c r="R16" s="16">
        <v>86</v>
      </c>
      <c r="S16" s="16" t="s">
        <v>38</v>
      </c>
      <c r="T16"/>
      <c r="U16"/>
      <c r="V16"/>
      <c r="W16"/>
      <c r="X16"/>
      <c r="Y16"/>
      <c r="Z16"/>
      <c r="AA16"/>
    </row>
    <row r="17" spans="2:27">
      <c r="B17" s="3" t="s">
        <v>51</v>
      </c>
      <c r="C17" s="12">
        <v>42126</v>
      </c>
      <c r="D17" s="12">
        <v>34421</v>
      </c>
      <c r="E17" s="12">
        <v>27762</v>
      </c>
      <c r="F17" s="12">
        <v>24862</v>
      </c>
      <c r="G17" s="12">
        <v>23507</v>
      </c>
      <c r="H17" s="31">
        <v>22394</v>
      </c>
      <c r="I17" s="31">
        <v>21321</v>
      </c>
      <c r="J17" s="31">
        <v>17144</v>
      </c>
      <c r="K17" s="31">
        <v>17144</v>
      </c>
      <c r="L17" s="31">
        <v>15151</v>
      </c>
      <c r="M17" s="16">
        <v>13939</v>
      </c>
      <c r="N17" s="16">
        <v>12859</v>
      </c>
      <c r="O17" s="16">
        <v>11872</v>
      </c>
      <c r="P17" s="16">
        <v>11126</v>
      </c>
      <c r="Q17" s="16">
        <v>11498</v>
      </c>
      <c r="R17" s="16">
        <v>12888</v>
      </c>
      <c r="S17" s="16">
        <v>12464</v>
      </c>
      <c r="T17"/>
      <c r="U17"/>
      <c r="V17"/>
      <c r="W17"/>
      <c r="X17"/>
      <c r="Y17"/>
      <c r="Z17"/>
      <c r="AA17"/>
    </row>
    <row r="18" spans="2:27">
      <c r="B18" s="3" t="s">
        <v>52</v>
      </c>
      <c r="C18" s="12"/>
      <c r="D18" s="12"/>
      <c r="E18" s="12"/>
      <c r="F18" s="12"/>
      <c r="G18" s="12"/>
      <c r="H18" s="31"/>
      <c r="I18" s="31"/>
      <c r="J18" s="31"/>
      <c r="K18" s="31"/>
      <c r="L18" s="31"/>
      <c r="M18" s="16"/>
      <c r="N18" s="16"/>
      <c r="O18" s="16"/>
      <c r="P18" s="16"/>
      <c r="Q18" s="16"/>
      <c r="R18" s="16"/>
      <c r="S18" s="16"/>
      <c r="T18"/>
      <c r="U18"/>
      <c r="V18"/>
      <c r="W18"/>
      <c r="X18"/>
      <c r="Y18"/>
      <c r="Z18"/>
      <c r="AA18"/>
    </row>
    <row r="19" spans="2:27">
      <c r="B19" s="3" t="s">
        <v>53</v>
      </c>
      <c r="C19" s="12">
        <v>25439</v>
      </c>
      <c r="D19" s="12">
        <v>21825</v>
      </c>
      <c r="E19" s="12">
        <v>16786</v>
      </c>
      <c r="F19" s="12">
        <v>14195</v>
      </c>
      <c r="G19" s="12">
        <v>11609</v>
      </c>
      <c r="H19" s="31">
        <v>10252</v>
      </c>
      <c r="I19" s="31">
        <v>10475</v>
      </c>
      <c r="J19" s="31">
        <v>9276</v>
      </c>
      <c r="K19" s="31">
        <v>9276</v>
      </c>
      <c r="L19" s="31">
        <v>8247</v>
      </c>
      <c r="M19" s="16">
        <v>6660</v>
      </c>
      <c r="N19" s="16">
        <v>5243</v>
      </c>
      <c r="O19" s="16">
        <v>5819</v>
      </c>
      <c r="P19" s="16">
        <v>4563</v>
      </c>
      <c r="Q19" s="16">
        <v>4420</v>
      </c>
      <c r="R19" s="16">
        <v>4334</v>
      </c>
      <c r="S19" s="16">
        <v>4100</v>
      </c>
      <c r="T19"/>
      <c r="U19"/>
      <c r="V19"/>
      <c r="W19"/>
      <c r="X19"/>
      <c r="Y19"/>
      <c r="Z19"/>
      <c r="AA19"/>
    </row>
    <row r="20" spans="2:27">
      <c r="B20" s="3" t="s">
        <v>54</v>
      </c>
      <c r="C20" s="12">
        <v>2484</v>
      </c>
      <c r="D20" s="12">
        <v>930</v>
      </c>
      <c r="E20" s="12">
        <v>1656</v>
      </c>
      <c r="F20" s="12">
        <v>1835</v>
      </c>
      <c r="G20" s="12">
        <v>779</v>
      </c>
      <c r="H20" s="31">
        <v>1677</v>
      </c>
      <c r="I20" s="31">
        <v>1444</v>
      </c>
      <c r="J20" s="31">
        <v>1096</v>
      </c>
      <c r="K20" s="31">
        <v>1096</v>
      </c>
      <c r="L20" s="31">
        <v>1139</v>
      </c>
      <c r="M20" s="16">
        <v>1290</v>
      </c>
      <c r="N20" s="16">
        <v>1058</v>
      </c>
      <c r="O20" s="16">
        <v>469</v>
      </c>
      <c r="P20" s="16">
        <v>396</v>
      </c>
      <c r="Q20" s="16">
        <v>514</v>
      </c>
      <c r="R20" s="16">
        <v>520</v>
      </c>
      <c r="S20" s="16">
        <v>1105</v>
      </c>
      <c r="T20"/>
      <c r="U20"/>
      <c r="V20"/>
      <c r="W20"/>
      <c r="X20"/>
      <c r="Y20"/>
      <c r="Z20"/>
      <c r="AA20"/>
    </row>
    <row r="21" spans="2:27">
      <c r="B21" s="3" t="s">
        <v>55</v>
      </c>
      <c r="C21" s="12">
        <v>247</v>
      </c>
      <c r="D21" s="12">
        <v>250</v>
      </c>
      <c r="E21" s="12">
        <v>51</v>
      </c>
      <c r="F21" s="12">
        <v>36</v>
      </c>
      <c r="G21" s="12">
        <v>35</v>
      </c>
      <c r="H21" s="31">
        <v>28</v>
      </c>
      <c r="I21" s="31">
        <v>26</v>
      </c>
      <c r="J21" s="31">
        <v>67</v>
      </c>
      <c r="K21" s="31">
        <v>67</v>
      </c>
      <c r="L21" s="31">
        <v>26</v>
      </c>
      <c r="M21" s="16">
        <v>120</v>
      </c>
      <c r="N21" s="16">
        <v>106</v>
      </c>
      <c r="O21" s="16">
        <v>60</v>
      </c>
      <c r="P21" s="16">
        <v>62</v>
      </c>
      <c r="Q21" s="16">
        <v>39</v>
      </c>
      <c r="R21" s="16">
        <v>23</v>
      </c>
      <c r="S21" s="16">
        <v>46</v>
      </c>
      <c r="T21"/>
      <c r="U21"/>
      <c r="V21"/>
      <c r="W21"/>
      <c r="X21"/>
      <c r="Y21"/>
      <c r="Z21"/>
      <c r="AA21"/>
    </row>
    <row r="22" spans="2:27">
      <c r="B22" s="3" t="s">
        <v>56</v>
      </c>
      <c r="C22" s="12">
        <v>13713</v>
      </c>
      <c r="D22" s="12">
        <v>11334</v>
      </c>
      <c r="E22" s="12">
        <v>7244</v>
      </c>
      <c r="F22" s="12">
        <v>6045</v>
      </c>
      <c r="G22" s="12">
        <v>5884</v>
      </c>
      <c r="H22" s="31">
        <v>4062</v>
      </c>
      <c r="I22" s="31">
        <v>5198</v>
      </c>
      <c r="J22" s="31">
        <v>5199</v>
      </c>
      <c r="K22" s="31">
        <v>5199</v>
      </c>
      <c r="L22" s="31">
        <v>4342</v>
      </c>
      <c r="M22" s="16">
        <v>5402</v>
      </c>
      <c r="N22" s="16">
        <v>2913</v>
      </c>
      <c r="O22" s="16">
        <v>3414</v>
      </c>
      <c r="P22" s="16">
        <v>3295</v>
      </c>
      <c r="Q22" s="16">
        <v>3454</v>
      </c>
      <c r="R22" s="16">
        <v>3153</v>
      </c>
      <c r="S22" s="16">
        <v>3052</v>
      </c>
      <c r="T22"/>
      <c r="U22"/>
      <c r="V22"/>
      <c r="W22"/>
      <c r="X22"/>
      <c r="Y22"/>
      <c r="Z22"/>
      <c r="AA22"/>
    </row>
    <row r="23" spans="2:27" s="17" customFormat="1">
      <c r="B23" s="15" t="s">
        <v>136</v>
      </c>
      <c r="C23" s="12">
        <v>18475</v>
      </c>
      <c r="D23" s="12">
        <v>14323</v>
      </c>
      <c r="E23" s="16">
        <v>12316</v>
      </c>
      <c r="F23" s="16">
        <v>9911</v>
      </c>
      <c r="G23" s="16">
        <v>9252</v>
      </c>
      <c r="H23" s="31">
        <v>9900</v>
      </c>
      <c r="I23" s="31">
        <v>12234</v>
      </c>
      <c r="J23" s="31">
        <v>10466</v>
      </c>
      <c r="K23" s="31">
        <v>10466</v>
      </c>
      <c r="L23" s="31">
        <v>8000</v>
      </c>
      <c r="M23" s="16">
        <v>6222</v>
      </c>
      <c r="N23" s="16">
        <v>7549</v>
      </c>
      <c r="O23" s="16">
        <v>3505</v>
      </c>
      <c r="P23" s="16">
        <v>3074</v>
      </c>
      <c r="Q23" s="16">
        <v>1724</v>
      </c>
      <c r="R23" s="16">
        <v>2643</v>
      </c>
      <c r="S23" s="16">
        <v>2472</v>
      </c>
    </row>
    <row r="24" spans="2:27" s="17" customFormat="1">
      <c r="B24" s="15" t="s">
        <v>57</v>
      </c>
      <c r="C24" s="12">
        <v>5194</v>
      </c>
      <c r="D24" s="12">
        <v>3259</v>
      </c>
      <c r="E24" s="16">
        <v>2192</v>
      </c>
      <c r="F24" s="16">
        <v>1232</v>
      </c>
      <c r="G24" s="16">
        <v>1179</v>
      </c>
      <c r="H24" s="31">
        <v>899</v>
      </c>
      <c r="I24" s="31">
        <v>710</v>
      </c>
      <c r="J24" s="31">
        <v>507</v>
      </c>
      <c r="K24" s="31">
        <v>507</v>
      </c>
      <c r="L24" s="31">
        <v>522</v>
      </c>
      <c r="M24" s="16">
        <v>599</v>
      </c>
      <c r="N24" s="16">
        <v>553</v>
      </c>
      <c r="O24" s="16">
        <v>750</v>
      </c>
      <c r="P24" s="16">
        <v>653</v>
      </c>
      <c r="Q24" s="16">
        <v>824</v>
      </c>
      <c r="R24" s="16">
        <v>936</v>
      </c>
      <c r="S24" s="16">
        <v>1158</v>
      </c>
    </row>
    <row r="25" spans="2:27">
      <c r="B25" s="3" t="s">
        <v>58</v>
      </c>
      <c r="C25" s="12">
        <v>1668</v>
      </c>
      <c r="D25" s="12">
        <v>1740</v>
      </c>
      <c r="E25" s="12">
        <v>1283</v>
      </c>
      <c r="F25" s="12">
        <v>1101</v>
      </c>
      <c r="G25" s="12">
        <v>953</v>
      </c>
      <c r="H25" s="31">
        <v>979</v>
      </c>
      <c r="I25" s="31">
        <v>969</v>
      </c>
      <c r="J25" s="31">
        <v>919</v>
      </c>
      <c r="K25" s="31">
        <v>919</v>
      </c>
      <c r="L25" s="31">
        <v>900</v>
      </c>
      <c r="M25" s="16">
        <v>1035</v>
      </c>
      <c r="N25" s="16">
        <v>962</v>
      </c>
      <c r="O25" s="16">
        <v>1113</v>
      </c>
      <c r="P25" s="16">
        <v>854</v>
      </c>
      <c r="Q25" s="16">
        <v>886</v>
      </c>
      <c r="R25" s="16">
        <v>829</v>
      </c>
      <c r="S25" s="16">
        <v>680</v>
      </c>
      <c r="T25"/>
      <c r="U25"/>
      <c r="V25"/>
      <c r="W25"/>
      <c r="X25"/>
      <c r="Y25"/>
      <c r="Z25"/>
      <c r="AA25"/>
    </row>
    <row r="26" spans="2:27">
      <c r="B26" s="3" t="s">
        <v>59</v>
      </c>
      <c r="C26" s="12">
        <v>11643</v>
      </c>
      <c r="D26" s="12">
        <v>8898</v>
      </c>
      <c r="E26" s="12">
        <v>11340</v>
      </c>
      <c r="F26" s="12">
        <v>9988</v>
      </c>
      <c r="G26" s="12">
        <v>10140</v>
      </c>
      <c r="H26" s="31">
        <v>8104</v>
      </c>
      <c r="I26" s="31">
        <v>5794</v>
      </c>
      <c r="J26" s="31">
        <v>9003</v>
      </c>
      <c r="K26" s="31">
        <v>9003</v>
      </c>
      <c r="L26" s="31">
        <v>4469</v>
      </c>
      <c r="M26" s="16">
        <v>4542</v>
      </c>
      <c r="N26" s="16">
        <v>2995</v>
      </c>
      <c r="O26" s="16">
        <v>1270</v>
      </c>
      <c r="P26" s="16">
        <v>2002</v>
      </c>
      <c r="Q26" s="16">
        <v>3963</v>
      </c>
      <c r="R26" s="16">
        <v>4555</v>
      </c>
      <c r="S26" s="16">
        <v>1544</v>
      </c>
      <c r="T26"/>
      <c r="U26"/>
      <c r="V26"/>
      <c r="W26"/>
      <c r="X26"/>
      <c r="Y26"/>
      <c r="Z26"/>
      <c r="AA26"/>
    </row>
    <row r="27" spans="2:27">
      <c r="B27" s="3" t="s">
        <v>60</v>
      </c>
      <c r="C27" s="12">
        <v>3715</v>
      </c>
      <c r="D27" s="12">
        <v>2843</v>
      </c>
      <c r="E27" s="12">
        <v>2129</v>
      </c>
      <c r="F27" s="12">
        <v>2869</v>
      </c>
      <c r="G27" s="12">
        <v>1701</v>
      </c>
      <c r="H27" s="31">
        <v>2273</v>
      </c>
      <c r="I27" s="31">
        <v>1687</v>
      </c>
      <c r="J27" s="31">
        <v>2451</v>
      </c>
      <c r="K27" s="31">
        <v>2451</v>
      </c>
      <c r="L27" s="31">
        <v>2202</v>
      </c>
      <c r="M27" s="16">
        <v>1402</v>
      </c>
      <c r="N27" s="16">
        <v>850</v>
      </c>
      <c r="O27" s="16">
        <v>1284</v>
      </c>
      <c r="P27" s="16">
        <v>1764</v>
      </c>
      <c r="Q27" s="16">
        <v>1616</v>
      </c>
      <c r="R27" s="16">
        <v>1918</v>
      </c>
      <c r="S27" s="16">
        <v>2544</v>
      </c>
      <c r="T27"/>
      <c r="U27"/>
      <c r="V27"/>
      <c r="W27"/>
      <c r="X27"/>
      <c r="Y27"/>
      <c r="Z27"/>
      <c r="AA27"/>
    </row>
    <row r="28" spans="2:27">
      <c r="B28" s="3" t="s">
        <v>61</v>
      </c>
      <c r="C28" s="12">
        <v>82578</v>
      </c>
      <c r="D28" s="12">
        <v>65402</v>
      </c>
      <c r="E28" s="12">
        <v>54997</v>
      </c>
      <c r="F28" s="12">
        <v>47212</v>
      </c>
      <c r="G28" s="12">
        <v>41532</v>
      </c>
      <c r="H28" s="31">
        <v>38174</v>
      </c>
      <c r="I28" s="31">
        <v>38537</v>
      </c>
      <c r="J28" s="31">
        <v>38984</v>
      </c>
      <c r="K28" s="31">
        <v>38984</v>
      </c>
      <c r="L28" s="31">
        <v>29847</v>
      </c>
      <c r="M28" s="16">
        <v>27272</v>
      </c>
      <c r="N28" s="16">
        <v>22229</v>
      </c>
      <c r="O28" s="16">
        <v>17684</v>
      </c>
      <c r="P28" s="16">
        <v>16663</v>
      </c>
      <c r="Q28" s="16">
        <v>17440</v>
      </c>
      <c r="R28" s="16">
        <v>18911</v>
      </c>
      <c r="S28" s="16">
        <v>16701</v>
      </c>
      <c r="T28"/>
      <c r="U28"/>
      <c r="V28"/>
      <c r="W28"/>
      <c r="X28"/>
      <c r="Y28"/>
      <c r="Z28"/>
      <c r="AA28"/>
    </row>
    <row r="29" spans="2:27">
      <c r="B29" s="3" t="s">
        <v>62</v>
      </c>
      <c r="C29" s="36" t="s">
        <v>38</v>
      </c>
      <c r="D29" s="36" t="s">
        <v>38</v>
      </c>
      <c r="E29" s="31" t="s">
        <v>38</v>
      </c>
      <c r="F29" s="31">
        <v>291</v>
      </c>
      <c r="G29" s="31" t="s">
        <v>38</v>
      </c>
      <c r="H29" s="31" t="s">
        <v>38</v>
      </c>
      <c r="I29" s="31" t="s">
        <v>38</v>
      </c>
      <c r="J29" s="31" t="s">
        <v>38</v>
      </c>
      <c r="K29" s="31" t="s">
        <v>38</v>
      </c>
      <c r="L29" s="31" t="s">
        <v>38</v>
      </c>
      <c r="M29" s="16" t="s">
        <v>38</v>
      </c>
      <c r="N29" s="22" t="s">
        <v>38</v>
      </c>
      <c r="O29" s="16" t="s">
        <v>38</v>
      </c>
      <c r="P29" s="16" t="s">
        <v>38</v>
      </c>
      <c r="Q29" s="16" t="s">
        <v>38</v>
      </c>
      <c r="R29" s="16" t="s">
        <v>38</v>
      </c>
      <c r="S29" s="16">
        <v>113</v>
      </c>
      <c r="T29"/>
      <c r="U29"/>
      <c r="V29"/>
      <c r="W29"/>
      <c r="X29"/>
      <c r="Y29"/>
      <c r="Z29"/>
      <c r="AA29"/>
    </row>
    <row r="30" spans="2:27">
      <c r="B30" s="3" t="s">
        <v>63</v>
      </c>
      <c r="C30" s="12">
        <v>124704</v>
      </c>
      <c r="D30" s="12">
        <v>99823</v>
      </c>
      <c r="E30" s="12">
        <v>82759</v>
      </c>
      <c r="F30" s="12">
        <v>72365</v>
      </c>
      <c r="G30" s="12">
        <v>65039</v>
      </c>
      <c r="H30" s="31">
        <v>60568</v>
      </c>
      <c r="I30" s="31">
        <v>59858</v>
      </c>
      <c r="J30" s="31">
        <v>56128</v>
      </c>
      <c r="K30" s="31">
        <v>56128</v>
      </c>
      <c r="L30" s="31">
        <v>44998</v>
      </c>
      <c r="M30" s="16">
        <v>41211</v>
      </c>
      <c r="N30" s="16">
        <v>35088</v>
      </c>
      <c r="O30" s="16">
        <v>29556</v>
      </c>
      <c r="P30" s="16">
        <v>27789</v>
      </c>
      <c r="Q30" s="16">
        <v>28938</v>
      </c>
      <c r="R30" s="16">
        <v>31799</v>
      </c>
      <c r="S30" s="16">
        <v>29278</v>
      </c>
      <c r="T30"/>
      <c r="U30"/>
      <c r="V30"/>
      <c r="W30"/>
      <c r="X30"/>
      <c r="Y30"/>
      <c r="Z30"/>
      <c r="AA30"/>
    </row>
    <row r="31" spans="2:27" ht="13">
      <c r="B31" s="3" t="s">
        <v>64</v>
      </c>
      <c r="C31" s="12"/>
      <c r="D31" s="12"/>
      <c r="E31" s="12"/>
      <c r="F31" s="12"/>
      <c r="G31" s="12"/>
      <c r="H31" s="32"/>
      <c r="I31" s="32"/>
      <c r="J31" s="32"/>
      <c r="K31" s="32"/>
      <c r="L31" s="32"/>
      <c r="M31" s="21"/>
      <c r="N31" s="21"/>
      <c r="O31" s="21"/>
      <c r="P31" s="21"/>
      <c r="Q31" s="21"/>
      <c r="R31" s="21"/>
      <c r="S31" s="21"/>
      <c r="T31"/>
      <c r="U31"/>
      <c r="V31"/>
      <c r="W31"/>
      <c r="X31"/>
      <c r="Y31"/>
      <c r="Z31"/>
      <c r="AA31"/>
    </row>
    <row r="32" spans="2:27">
      <c r="B32" s="3" t="s">
        <v>65</v>
      </c>
      <c r="C32" s="12"/>
      <c r="D32" s="12"/>
      <c r="E32" s="12"/>
      <c r="F32" s="12"/>
      <c r="G32" s="12"/>
      <c r="H32" s="34"/>
      <c r="I32" s="34"/>
      <c r="J32" s="34"/>
      <c r="K32" s="34"/>
      <c r="L32" s="34"/>
      <c r="M32" s="23"/>
      <c r="N32" s="16"/>
      <c r="O32" s="16"/>
      <c r="P32" s="16"/>
      <c r="Q32" s="16"/>
      <c r="R32" s="16"/>
      <c r="S32" s="16"/>
      <c r="T32"/>
      <c r="U32"/>
      <c r="V32"/>
      <c r="W32"/>
      <c r="X32"/>
      <c r="Y32"/>
      <c r="Z32"/>
      <c r="AA32"/>
    </row>
    <row r="33" spans="2:27">
      <c r="B33" s="3" t="s">
        <v>66</v>
      </c>
      <c r="C33" s="12">
        <v>43336</v>
      </c>
      <c r="D33" s="12">
        <v>35503</v>
      </c>
      <c r="E33" s="12">
        <v>32035</v>
      </c>
      <c r="F33" s="12">
        <v>29486</v>
      </c>
      <c r="G33" s="12">
        <v>22976</v>
      </c>
      <c r="H33" s="31">
        <v>21466</v>
      </c>
      <c r="I33" s="31">
        <v>20535</v>
      </c>
      <c r="J33" s="31">
        <v>19412</v>
      </c>
      <c r="K33" s="31">
        <v>19412</v>
      </c>
      <c r="L33" s="31">
        <v>14097</v>
      </c>
      <c r="M33" s="16">
        <v>13156</v>
      </c>
      <c r="N33" s="16">
        <v>12851</v>
      </c>
      <c r="O33" s="16">
        <v>11291</v>
      </c>
      <c r="P33" s="16">
        <v>12136</v>
      </c>
      <c r="Q33" s="16">
        <v>11168</v>
      </c>
      <c r="R33" s="16">
        <v>12950</v>
      </c>
      <c r="S33" s="16">
        <v>11274</v>
      </c>
      <c r="T33"/>
      <c r="U33"/>
      <c r="V33"/>
      <c r="W33"/>
      <c r="X33"/>
      <c r="Y33"/>
      <c r="Z33"/>
      <c r="AA33"/>
    </row>
    <row r="34" spans="2:27">
      <c r="B34" s="3" t="s">
        <v>67</v>
      </c>
      <c r="C34" s="12">
        <v>340</v>
      </c>
      <c r="D34" s="12">
        <v>309</v>
      </c>
      <c r="E34" s="12">
        <v>327</v>
      </c>
      <c r="F34" s="12">
        <v>390</v>
      </c>
      <c r="G34" s="12">
        <v>273</v>
      </c>
      <c r="H34" s="31">
        <v>178</v>
      </c>
      <c r="I34" s="31">
        <v>274</v>
      </c>
      <c r="J34" s="31">
        <v>221</v>
      </c>
      <c r="K34" s="31">
        <v>221</v>
      </c>
      <c r="L34" s="31">
        <v>188</v>
      </c>
      <c r="M34" s="16">
        <v>145</v>
      </c>
      <c r="N34" s="16">
        <v>61</v>
      </c>
      <c r="O34" s="16">
        <v>82</v>
      </c>
      <c r="P34" s="16">
        <v>91</v>
      </c>
      <c r="Q34" s="16">
        <v>112</v>
      </c>
      <c r="R34" s="16">
        <v>119</v>
      </c>
      <c r="S34" s="16">
        <v>170</v>
      </c>
      <c r="T34"/>
      <c r="U34"/>
      <c r="V34"/>
      <c r="W34"/>
      <c r="X34"/>
      <c r="Y34"/>
      <c r="Z34"/>
      <c r="AA34"/>
    </row>
    <row r="35" spans="2:27">
      <c r="B35" s="3" t="s">
        <v>68</v>
      </c>
      <c r="C35" s="12">
        <v>43676</v>
      </c>
      <c r="D35" s="12">
        <v>35812</v>
      </c>
      <c r="E35" s="12">
        <v>32362</v>
      </c>
      <c r="F35" s="12">
        <v>29876</v>
      </c>
      <c r="G35" s="12">
        <v>23249</v>
      </c>
      <c r="H35" s="31">
        <v>21644</v>
      </c>
      <c r="I35" s="31">
        <v>20809</v>
      </c>
      <c r="J35" s="31">
        <v>19633</v>
      </c>
      <c r="K35" s="31">
        <v>19633</v>
      </c>
      <c r="L35" s="31">
        <v>14285</v>
      </c>
      <c r="M35" s="16">
        <v>13301</v>
      </c>
      <c r="N35" s="16">
        <v>12912</v>
      </c>
      <c r="O35" s="16">
        <v>11373</v>
      </c>
      <c r="P35" s="16">
        <v>12227</v>
      </c>
      <c r="Q35" s="16">
        <v>11280</v>
      </c>
      <c r="R35" s="16">
        <v>13069</v>
      </c>
      <c r="S35" s="16">
        <v>11444</v>
      </c>
      <c r="T35"/>
      <c r="U35"/>
      <c r="V35"/>
      <c r="W35"/>
      <c r="X35"/>
      <c r="Y35"/>
      <c r="Z35"/>
      <c r="AA35"/>
    </row>
    <row r="36" spans="2:27">
      <c r="B36" s="3" t="s">
        <v>69</v>
      </c>
      <c r="C36" s="12"/>
      <c r="D36" s="12"/>
      <c r="E36" s="12"/>
      <c r="F36" s="12"/>
      <c r="G36" s="12"/>
      <c r="H36" s="31"/>
      <c r="I36" s="31"/>
      <c r="J36" s="31"/>
      <c r="K36" s="31"/>
      <c r="L36" s="31"/>
      <c r="M36" s="16"/>
      <c r="N36" s="16"/>
      <c r="O36" s="16"/>
      <c r="P36" s="16"/>
      <c r="Q36" s="16"/>
      <c r="R36" s="16"/>
      <c r="S36" s="16"/>
      <c r="T36"/>
      <c r="U36"/>
      <c r="V36"/>
      <c r="W36"/>
      <c r="X36"/>
      <c r="Y36"/>
      <c r="Z36"/>
      <c r="AA36"/>
    </row>
    <row r="37" spans="2:27">
      <c r="B37" s="3" t="s">
        <v>141</v>
      </c>
      <c r="C37" s="12">
        <v>4198</v>
      </c>
      <c r="D37" s="12">
        <v>2337</v>
      </c>
      <c r="E37" s="12">
        <v>2078</v>
      </c>
      <c r="F37" s="12">
        <v>2240</v>
      </c>
      <c r="G37" s="12">
        <v>2061</v>
      </c>
      <c r="H37" s="31">
        <v>2095</v>
      </c>
      <c r="I37" s="31">
        <v>2138</v>
      </c>
      <c r="J37" s="31" t="s">
        <v>38</v>
      </c>
      <c r="K37" s="31" t="s">
        <v>38</v>
      </c>
      <c r="L37" s="31" t="s">
        <v>38</v>
      </c>
      <c r="M37" s="31" t="s">
        <v>38</v>
      </c>
      <c r="N37" s="31" t="s">
        <v>38</v>
      </c>
      <c r="O37" s="31" t="s">
        <v>38</v>
      </c>
      <c r="P37" s="31" t="s">
        <v>38</v>
      </c>
      <c r="Q37" s="31" t="s">
        <v>38</v>
      </c>
      <c r="R37" s="31" t="s">
        <v>38</v>
      </c>
      <c r="S37" s="31" t="s">
        <v>38</v>
      </c>
      <c r="T37"/>
      <c r="U37"/>
      <c r="V37"/>
      <c r="W37"/>
      <c r="X37"/>
      <c r="Y37"/>
      <c r="Z37"/>
      <c r="AA37"/>
    </row>
    <row r="38" spans="2:27">
      <c r="B38" s="3" t="s">
        <v>70</v>
      </c>
      <c r="C38" s="12">
        <v>8475</v>
      </c>
      <c r="D38" s="12">
        <v>7128</v>
      </c>
      <c r="E38" s="12">
        <v>6915</v>
      </c>
      <c r="F38" s="12">
        <v>6749</v>
      </c>
      <c r="G38" s="12">
        <v>5752</v>
      </c>
      <c r="H38" s="31">
        <v>5291</v>
      </c>
      <c r="I38" s="31">
        <v>6513</v>
      </c>
      <c r="J38" s="31">
        <v>8196</v>
      </c>
      <c r="K38" s="31">
        <v>8196</v>
      </c>
      <c r="L38" s="31">
        <v>6235</v>
      </c>
      <c r="M38" s="16">
        <v>5624</v>
      </c>
      <c r="N38" s="16">
        <v>4872</v>
      </c>
      <c r="O38" s="16">
        <v>2105</v>
      </c>
      <c r="P38" s="16">
        <v>1095</v>
      </c>
      <c r="Q38" s="16">
        <v>105</v>
      </c>
      <c r="R38" s="16">
        <v>1218</v>
      </c>
      <c r="S38" s="16">
        <v>1117</v>
      </c>
      <c r="T38"/>
      <c r="U38"/>
      <c r="V38"/>
      <c r="W38"/>
      <c r="X38"/>
      <c r="Y38"/>
      <c r="Z38"/>
      <c r="AA38"/>
    </row>
    <row r="39" spans="2:27">
      <c r="B39" s="3" t="s">
        <v>71</v>
      </c>
      <c r="C39" s="12">
        <v>176</v>
      </c>
      <c r="D39" s="12">
        <v>136</v>
      </c>
      <c r="E39" s="12">
        <v>210</v>
      </c>
      <c r="F39" s="12">
        <v>90</v>
      </c>
      <c r="G39" s="12">
        <v>81</v>
      </c>
      <c r="H39" s="31">
        <v>100</v>
      </c>
      <c r="I39" s="31">
        <v>180</v>
      </c>
      <c r="J39" s="31">
        <v>190</v>
      </c>
      <c r="K39" s="31">
        <v>190</v>
      </c>
      <c r="L39" s="31">
        <v>210</v>
      </c>
      <c r="M39" s="16">
        <v>202</v>
      </c>
      <c r="N39" s="16">
        <v>136</v>
      </c>
      <c r="O39" s="16">
        <v>141</v>
      </c>
      <c r="P39" s="16">
        <v>179</v>
      </c>
      <c r="Q39" s="16">
        <v>315</v>
      </c>
      <c r="R39" s="16">
        <v>439</v>
      </c>
      <c r="S39" s="16">
        <v>294</v>
      </c>
      <c r="T39"/>
      <c r="U39"/>
      <c r="V39"/>
      <c r="W39"/>
      <c r="X39"/>
      <c r="Y39"/>
      <c r="Z39"/>
      <c r="AA39"/>
    </row>
    <row r="40" spans="2:27">
      <c r="B40" s="3" t="s">
        <v>72</v>
      </c>
      <c r="C40" s="12">
        <v>383</v>
      </c>
      <c r="D40" s="12">
        <v>1387</v>
      </c>
      <c r="E40" s="12">
        <v>1872</v>
      </c>
      <c r="F40" s="12">
        <v>1304</v>
      </c>
      <c r="G40" s="12">
        <v>5918</v>
      </c>
      <c r="H40" s="31">
        <v>6445</v>
      </c>
      <c r="I40" s="31">
        <v>6014</v>
      </c>
      <c r="J40" s="31">
        <v>5113</v>
      </c>
      <c r="K40" s="31">
        <v>5113</v>
      </c>
      <c r="L40" s="31">
        <v>3424</v>
      </c>
      <c r="M40" s="16">
        <v>3069</v>
      </c>
      <c r="N40" s="16">
        <v>2373</v>
      </c>
      <c r="O40" s="16">
        <v>3149</v>
      </c>
      <c r="P40" s="16">
        <v>1680</v>
      </c>
      <c r="Q40" s="16">
        <v>2874</v>
      </c>
      <c r="R40" s="16">
        <v>12</v>
      </c>
      <c r="S40" s="16">
        <v>5</v>
      </c>
      <c r="T40"/>
      <c r="U40"/>
      <c r="V40"/>
      <c r="W40"/>
      <c r="X40"/>
      <c r="Y40"/>
      <c r="Z40"/>
      <c r="AA40"/>
    </row>
    <row r="41" spans="2:27">
      <c r="B41" s="3" t="s">
        <v>73</v>
      </c>
      <c r="C41" s="12">
        <v>2035</v>
      </c>
      <c r="D41" s="12">
        <v>2238</v>
      </c>
      <c r="E41" s="12">
        <v>2888</v>
      </c>
      <c r="F41" s="12">
        <v>2566</v>
      </c>
      <c r="G41" s="12">
        <v>2529</v>
      </c>
      <c r="H41" s="31">
        <v>2197</v>
      </c>
      <c r="I41" s="31">
        <v>1344</v>
      </c>
      <c r="J41" s="31">
        <v>1081</v>
      </c>
      <c r="K41" s="31">
        <v>1081</v>
      </c>
      <c r="L41" s="31">
        <v>1024</v>
      </c>
      <c r="M41" s="16">
        <v>811</v>
      </c>
      <c r="N41" s="16">
        <v>1097</v>
      </c>
      <c r="O41" s="16">
        <v>1234</v>
      </c>
      <c r="P41" s="16">
        <v>1043</v>
      </c>
      <c r="Q41" s="16">
        <v>1286</v>
      </c>
      <c r="R41" s="16">
        <v>1728</v>
      </c>
      <c r="S41" s="16">
        <v>2207</v>
      </c>
      <c r="T41"/>
      <c r="U41"/>
      <c r="V41"/>
      <c r="W41"/>
      <c r="X41"/>
      <c r="Y41"/>
      <c r="Z41"/>
      <c r="AA41"/>
    </row>
    <row r="42" spans="2:27">
      <c r="B42" s="3" t="s">
        <v>74</v>
      </c>
      <c r="C42" s="12">
        <v>2017</v>
      </c>
      <c r="D42" s="12">
        <v>1070</v>
      </c>
      <c r="E42" s="12">
        <v>1432</v>
      </c>
      <c r="F42" s="12">
        <v>1140</v>
      </c>
      <c r="G42" s="12">
        <v>137</v>
      </c>
      <c r="H42" s="31">
        <v>56</v>
      </c>
      <c r="I42" s="31">
        <v>40</v>
      </c>
      <c r="J42" s="31">
        <v>16</v>
      </c>
      <c r="K42" s="31">
        <v>16</v>
      </c>
      <c r="L42" s="31">
        <v>274</v>
      </c>
      <c r="M42" s="16">
        <v>30</v>
      </c>
      <c r="N42" s="16">
        <v>34</v>
      </c>
      <c r="O42" s="16">
        <v>48</v>
      </c>
      <c r="P42" s="16">
        <v>501</v>
      </c>
      <c r="Q42" s="16">
        <v>184</v>
      </c>
      <c r="R42" s="16">
        <v>1012</v>
      </c>
      <c r="S42" s="16">
        <v>803</v>
      </c>
      <c r="T42"/>
      <c r="U42"/>
      <c r="V42"/>
      <c r="W42"/>
      <c r="X42"/>
      <c r="Y42"/>
      <c r="Z42"/>
      <c r="AA42"/>
    </row>
    <row r="43" spans="2:27">
      <c r="B43" s="3" t="s">
        <v>75</v>
      </c>
      <c r="C43" s="12">
        <v>17284</v>
      </c>
      <c r="D43" s="12">
        <v>14296</v>
      </c>
      <c r="E43" s="12">
        <v>15395</v>
      </c>
      <c r="F43" s="12">
        <v>14089</v>
      </c>
      <c r="G43" s="12">
        <v>16478</v>
      </c>
      <c r="H43" s="31">
        <v>16184</v>
      </c>
      <c r="I43" s="31">
        <v>16229</v>
      </c>
      <c r="J43" s="31">
        <v>14596</v>
      </c>
      <c r="K43" s="31">
        <v>14596</v>
      </c>
      <c r="L43" s="31">
        <v>11167</v>
      </c>
      <c r="M43" s="16">
        <v>9736</v>
      </c>
      <c r="N43" s="16">
        <v>8512</v>
      </c>
      <c r="O43" s="16">
        <v>6677</v>
      </c>
      <c r="P43" s="16">
        <v>4498</v>
      </c>
      <c r="Q43" s="16">
        <v>4764</v>
      </c>
      <c r="R43" s="16">
        <v>4409</v>
      </c>
      <c r="S43" s="16">
        <v>4426</v>
      </c>
      <c r="T43"/>
      <c r="U43"/>
      <c r="V43"/>
      <c r="W43"/>
      <c r="X43"/>
      <c r="Y43"/>
      <c r="Z43"/>
      <c r="AA43"/>
    </row>
    <row r="44" spans="2:27">
      <c r="B44" s="3" t="s">
        <v>76</v>
      </c>
      <c r="C44" s="12"/>
      <c r="D44" s="12"/>
      <c r="E44" s="12"/>
      <c r="F44" s="12"/>
      <c r="G44" s="12"/>
      <c r="H44" s="31"/>
      <c r="I44" s="31"/>
      <c r="J44" s="31"/>
      <c r="K44" s="31"/>
      <c r="L44" s="31"/>
      <c r="M44" s="16"/>
      <c r="N44" s="16"/>
      <c r="O44" s="16"/>
      <c r="P44" s="16"/>
      <c r="Q44" s="16"/>
      <c r="R44" s="16"/>
      <c r="S44" s="16"/>
      <c r="T44"/>
      <c r="U44"/>
      <c r="V44"/>
      <c r="W44"/>
      <c r="X44"/>
      <c r="Y44"/>
      <c r="Z44"/>
      <c r="AA44"/>
    </row>
    <row r="45" spans="2:27">
      <c r="B45" s="3" t="s">
        <v>142</v>
      </c>
      <c r="C45" s="12">
        <v>726</v>
      </c>
      <c r="D45" s="12">
        <v>695</v>
      </c>
      <c r="E45" s="12">
        <v>597</v>
      </c>
      <c r="F45" s="12">
        <v>554</v>
      </c>
      <c r="G45" s="12">
        <v>482</v>
      </c>
      <c r="H45" s="31">
        <v>444</v>
      </c>
      <c r="I45" s="31">
        <v>434</v>
      </c>
      <c r="J45" s="31" t="s">
        <v>38</v>
      </c>
      <c r="K45" s="31" t="s">
        <v>38</v>
      </c>
      <c r="L45" s="31" t="s">
        <v>38</v>
      </c>
      <c r="M45" s="31" t="s">
        <v>38</v>
      </c>
      <c r="N45" s="31" t="s">
        <v>38</v>
      </c>
      <c r="O45" s="31" t="s">
        <v>38</v>
      </c>
      <c r="P45" s="31" t="s">
        <v>38</v>
      </c>
      <c r="Q45" s="31" t="s">
        <v>38</v>
      </c>
      <c r="R45" s="31" t="s">
        <v>38</v>
      </c>
      <c r="S45" s="31" t="s">
        <v>38</v>
      </c>
      <c r="T45"/>
      <c r="U45"/>
      <c r="V45"/>
      <c r="W45"/>
      <c r="X45"/>
      <c r="Y45"/>
      <c r="Z45"/>
      <c r="AA45"/>
    </row>
    <row r="46" spans="2:27">
      <c r="B46" s="3" t="s">
        <v>77</v>
      </c>
      <c r="C46" s="12">
        <v>1310</v>
      </c>
      <c r="D46" s="12">
        <v>224</v>
      </c>
      <c r="E46" s="12">
        <v>453</v>
      </c>
      <c r="F46" s="12">
        <v>445</v>
      </c>
      <c r="G46" s="12">
        <v>1421</v>
      </c>
      <c r="H46" s="31">
        <v>2168</v>
      </c>
      <c r="I46" s="31">
        <v>1322</v>
      </c>
      <c r="J46" s="31">
        <v>1068</v>
      </c>
      <c r="K46" s="31">
        <v>1068</v>
      </c>
      <c r="L46" s="31">
        <v>92</v>
      </c>
      <c r="M46" s="16">
        <v>292</v>
      </c>
      <c r="N46" s="16">
        <v>853</v>
      </c>
      <c r="O46" s="16">
        <v>264</v>
      </c>
      <c r="P46" s="16">
        <v>718</v>
      </c>
      <c r="Q46" s="16">
        <v>1637</v>
      </c>
      <c r="R46" s="16">
        <v>520</v>
      </c>
      <c r="S46" s="16">
        <v>589</v>
      </c>
      <c r="T46"/>
      <c r="U46"/>
      <c r="V46"/>
      <c r="W46"/>
      <c r="X46"/>
      <c r="Y46"/>
      <c r="Z46"/>
      <c r="AA46"/>
    </row>
    <row r="47" spans="2:27">
      <c r="B47" s="3" t="s">
        <v>137</v>
      </c>
      <c r="C47" s="12">
        <v>33858</v>
      </c>
      <c r="D47" s="12">
        <v>25675</v>
      </c>
      <c r="E47" s="12">
        <v>16553</v>
      </c>
      <c r="F47" s="12">
        <v>11189</v>
      </c>
      <c r="G47" s="12">
        <v>10687</v>
      </c>
      <c r="H47" s="31">
        <v>8409</v>
      </c>
      <c r="I47" s="31">
        <v>8899</v>
      </c>
      <c r="J47" s="31">
        <v>8890</v>
      </c>
      <c r="K47" s="31">
        <v>8890</v>
      </c>
      <c r="L47" s="31">
        <v>9512</v>
      </c>
      <c r="M47" s="16">
        <v>7884</v>
      </c>
      <c r="N47" s="16">
        <v>4134</v>
      </c>
      <c r="O47" s="16">
        <v>2894</v>
      </c>
      <c r="P47" s="16">
        <v>3274</v>
      </c>
      <c r="Q47" s="16">
        <v>3592</v>
      </c>
      <c r="R47" s="16">
        <v>5061</v>
      </c>
      <c r="S47" s="16">
        <v>4526</v>
      </c>
      <c r="T47"/>
      <c r="U47"/>
      <c r="V47"/>
      <c r="W47"/>
      <c r="X47"/>
      <c r="Y47"/>
      <c r="Z47"/>
      <c r="AA47"/>
    </row>
    <row r="48" spans="2:27">
      <c r="B48" s="3" t="s">
        <v>78</v>
      </c>
      <c r="C48" s="12">
        <v>10140</v>
      </c>
      <c r="D48" s="12">
        <v>8215</v>
      </c>
      <c r="E48" s="12">
        <v>6080</v>
      </c>
      <c r="F48" s="12">
        <v>4870</v>
      </c>
      <c r="G48" s="12">
        <v>3534</v>
      </c>
      <c r="H48" s="31">
        <v>3302</v>
      </c>
      <c r="I48" s="31">
        <v>3221</v>
      </c>
      <c r="J48" s="31">
        <v>4077</v>
      </c>
      <c r="K48" s="31">
        <v>4077</v>
      </c>
      <c r="L48" s="31">
        <v>2958</v>
      </c>
      <c r="M48" s="16">
        <v>2880</v>
      </c>
      <c r="N48" s="16">
        <v>2340</v>
      </c>
      <c r="O48" s="16">
        <v>1840</v>
      </c>
      <c r="P48" s="16">
        <v>1918</v>
      </c>
      <c r="Q48" s="16">
        <v>1904</v>
      </c>
      <c r="R48" s="16">
        <v>1785</v>
      </c>
      <c r="S48" s="16">
        <v>1799</v>
      </c>
      <c r="T48"/>
      <c r="U48"/>
      <c r="V48"/>
      <c r="W48"/>
      <c r="X48"/>
      <c r="Y48"/>
      <c r="Z48"/>
      <c r="AA48"/>
    </row>
    <row r="49" spans="2:27">
      <c r="B49" s="3" t="s">
        <v>54</v>
      </c>
      <c r="C49" s="12">
        <v>559</v>
      </c>
      <c r="D49" s="12">
        <v>2444</v>
      </c>
      <c r="E49" s="12">
        <v>1111</v>
      </c>
      <c r="F49" s="12">
        <v>1664</v>
      </c>
      <c r="G49" s="12">
        <v>615</v>
      </c>
      <c r="H49" s="31">
        <v>965</v>
      </c>
      <c r="I49" s="31">
        <v>1706</v>
      </c>
      <c r="J49" s="31">
        <v>1234</v>
      </c>
      <c r="K49" s="31">
        <v>1234</v>
      </c>
      <c r="L49" s="31">
        <v>1093</v>
      </c>
      <c r="M49" s="16">
        <v>1955</v>
      </c>
      <c r="N49" s="16">
        <v>1614</v>
      </c>
      <c r="O49" s="16">
        <v>1400</v>
      </c>
      <c r="P49" s="16">
        <v>316</v>
      </c>
      <c r="Q49" s="16">
        <v>254</v>
      </c>
      <c r="R49" s="16">
        <v>628</v>
      </c>
      <c r="S49" s="16">
        <v>750</v>
      </c>
      <c r="T49"/>
      <c r="U49"/>
      <c r="V49"/>
      <c r="W49"/>
      <c r="X49"/>
      <c r="Y49"/>
      <c r="Z49"/>
      <c r="AA49"/>
    </row>
    <row r="50" spans="2:27">
      <c r="B50" s="3" t="s">
        <v>79</v>
      </c>
      <c r="C50" s="12">
        <v>1080</v>
      </c>
      <c r="D50" s="12">
        <v>536</v>
      </c>
      <c r="E50" s="12">
        <v>235</v>
      </c>
      <c r="F50" s="12">
        <v>198</v>
      </c>
      <c r="G50" s="12">
        <v>179</v>
      </c>
      <c r="H50" s="31">
        <v>42</v>
      </c>
      <c r="I50" s="31">
        <v>71</v>
      </c>
      <c r="J50" s="31">
        <v>147</v>
      </c>
      <c r="K50" s="31">
        <v>147</v>
      </c>
      <c r="L50" s="31">
        <v>120</v>
      </c>
      <c r="M50" s="16">
        <v>81</v>
      </c>
      <c r="N50" s="16">
        <v>37</v>
      </c>
      <c r="O50" s="16">
        <v>47</v>
      </c>
      <c r="P50" s="16">
        <v>61</v>
      </c>
      <c r="Q50" s="16">
        <v>228</v>
      </c>
      <c r="R50" s="16">
        <v>244</v>
      </c>
      <c r="S50" s="16">
        <v>265</v>
      </c>
      <c r="T50"/>
      <c r="U50"/>
      <c r="V50"/>
      <c r="W50"/>
      <c r="X50"/>
      <c r="Y50"/>
      <c r="Z50"/>
      <c r="AA50"/>
    </row>
    <row r="51" spans="2:27">
      <c r="B51" s="3" t="s">
        <v>71</v>
      </c>
      <c r="C51" s="12">
        <v>1856</v>
      </c>
      <c r="D51" s="12">
        <v>1190</v>
      </c>
      <c r="E51" s="12">
        <v>1083</v>
      </c>
      <c r="F51" s="12">
        <v>1097</v>
      </c>
      <c r="G51" s="12">
        <v>945</v>
      </c>
      <c r="H51" s="31">
        <v>778</v>
      </c>
      <c r="I51" s="31">
        <v>1193</v>
      </c>
      <c r="J51" s="31">
        <v>770</v>
      </c>
      <c r="K51" s="31">
        <v>770</v>
      </c>
      <c r="L51" s="31">
        <v>805</v>
      </c>
      <c r="M51" s="16">
        <v>695</v>
      </c>
      <c r="N51" s="16">
        <v>725</v>
      </c>
      <c r="O51" s="16">
        <v>978</v>
      </c>
      <c r="P51" s="16">
        <v>839</v>
      </c>
      <c r="Q51" s="16">
        <v>760</v>
      </c>
      <c r="R51" s="16">
        <v>747</v>
      </c>
      <c r="S51" s="16">
        <v>819</v>
      </c>
      <c r="T51"/>
      <c r="U51"/>
      <c r="V51"/>
      <c r="W51"/>
      <c r="X51"/>
      <c r="Y51"/>
      <c r="Z51"/>
      <c r="AA51"/>
    </row>
    <row r="52" spans="2:27">
      <c r="B52" s="3" t="s">
        <v>80</v>
      </c>
      <c r="C52" s="12">
        <v>12197</v>
      </c>
      <c r="D52" s="12">
        <v>9700</v>
      </c>
      <c r="E52" s="12">
        <v>8015</v>
      </c>
      <c r="F52" s="12">
        <v>7216</v>
      </c>
      <c r="G52" s="12">
        <v>6377</v>
      </c>
      <c r="H52" s="31">
        <v>5939</v>
      </c>
      <c r="I52" s="31">
        <v>5272</v>
      </c>
      <c r="J52" s="31">
        <v>5097</v>
      </c>
      <c r="K52" s="31">
        <v>5097</v>
      </c>
      <c r="L52" s="31">
        <v>4483</v>
      </c>
      <c r="M52" s="16">
        <v>3988</v>
      </c>
      <c r="N52" s="16">
        <v>3513</v>
      </c>
      <c r="O52" s="16">
        <v>3571</v>
      </c>
      <c r="P52" s="16">
        <v>3279</v>
      </c>
      <c r="Q52" s="16">
        <v>3954</v>
      </c>
      <c r="R52" s="16">
        <v>4590</v>
      </c>
      <c r="S52" s="16">
        <v>3868</v>
      </c>
      <c r="T52"/>
      <c r="U52"/>
      <c r="V52"/>
      <c r="W52"/>
      <c r="X52"/>
      <c r="Y52"/>
      <c r="Z52"/>
      <c r="AA52"/>
    </row>
    <row r="53" spans="2:27">
      <c r="B53" s="3" t="s">
        <v>81</v>
      </c>
      <c r="C53" s="12">
        <v>2018</v>
      </c>
      <c r="D53" s="12">
        <v>1036</v>
      </c>
      <c r="E53" s="12">
        <v>875</v>
      </c>
      <c r="F53" s="12">
        <v>1035</v>
      </c>
      <c r="G53" s="12">
        <v>1072</v>
      </c>
      <c r="H53" s="31">
        <v>693</v>
      </c>
      <c r="I53" s="31">
        <v>702</v>
      </c>
      <c r="J53" s="31">
        <v>616</v>
      </c>
      <c r="K53" s="31">
        <v>616</v>
      </c>
      <c r="L53" s="31">
        <v>483</v>
      </c>
      <c r="M53" s="16">
        <v>399</v>
      </c>
      <c r="N53" s="16">
        <v>448</v>
      </c>
      <c r="O53" s="16">
        <v>512</v>
      </c>
      <c r="P53" s="16">
        <v>659</v>
      </c>
      <c r="Q53" s="16">
        <v>565</v>
      </c>
      <c r="R53" s="16">
        <v>746</v>
      </c>
      <c r="S53" s="16">
        <v>792</v>
      </c>
      <c r="T53"/>
      <c r="U53"/>
      <c r="V53"/>
      <c r="W53"/>
      <c r="X53"/>
      <c r="Y53"/>
      <c r="Z53"/>
      <c r="AA53"/>
    </row>
    <row r="54" spans="2:27">
      <c r="B54" s="3" t="s">
        <v>150</v>
      </c>
      <c r="C54" s="12" t="s">
        <v>38</v>
      </c>
      <c r="D54" s="12" t="s">
        <v>38</v>
      </c>
      <c r="E54" s="12" t="s">
        <v>38</v>
      </c>
      <c r="F54" s="12">
        <v>132</v>
      </c>
      <c r="G54" s="12" t="s">
        <v>38</v>
      </c>
      <c r="H54" s="31" t="s">
        <v>38</v>
      </c>
      <c r="I54" s="31" t="s">
        <v>38</v>
      </c>
      <c r="J54" s="31" t="s">
        <v>38</v>
      </c>
      <c r="K54" s="31" t="s">
        <v>38</v>
      </c>
      <c r="L54" s="31" t="s">
        <v>38</v>
      </c>
      <c r="M54" s="16" t="s">
        <v>38</v>
      </c>
      <c r="N54" s="16" t="s">
        <v>38</v>
      </c>
      <c r="O54" s="16" t="s">
        <v>38</v>
      </c>
      <c r="P54" s="16" t="s">
        <v>38</v>
      </c>
      <c r="Q54" s="16" t="s">
        <v>38</v>
      </c>
      <c r="R54" s="16" t="s">
        <v>38</v>
      </c>
      <c r="S54" s="16" t="s">
        <v>38</v>
      </c>
      <c r="T54"/>
      <c r="U54"/>
      <c r="V54"/>
      <c r="W54"/>
      <c r="X54"/>
      <c r="Y54"/>
      <c r="Z54"/>
      <c r="AA54"/>
    </row>
    <row r="55" spans="2:27">
      <c r="B55" s="3" t="s">
        <v>82</v>
      </c>
      <c r="C55" s="12">
        <v>63744</v>
      </c>
      <c r="D55" s="12">
        <v>49715</v>
      </c>
      <c r="E55" s="12">
        <v>35002</v>
      </c>
      <c r="F55" s="12">
        <v>28400</v>
      </c>
      <c r="G55" s="12">
        <v>25312</v>
      </c>
      <c r="H55" s="31">
        <v>22740</v>
      </c>
      <c r="I55" s="31">
        <v>22820</v>
      </c>
      <c r="J55" s="31">
        <v>21899</v>
      </c>
      <c r="K55" s="31">
        <v>21899</v>
      </c>
      <c r="L55" s="31">
        <v>19546</v>
      </c>
      <c r="M55" s="16">
        <v>18174</v>
      </c>
      <c r="N55" s="16">
        <v>13664</v>
      </c>
      <c r="O55" s="16">
        <v>11506</v>
      </c>
      <c r="P55" s="16">
        <v>11064</v>
      </c>
      <c r="Q55" s="16">
        <v>12894</v>
      </c>
      <c r="R55" s="16">
        <v>14321</v>
      </c>
      <c r="S55" s="16">
        <v>13408</v>
      </c>
      <c r="T55"/>
      <c r="U55"/>
      <c r="V55"/>
      <c r="W55"/>
      <c r="X55"/>
      <c r="Y55"/>
      <c r="Z55"/>
      <c r="AA55"/>
    </row>
    <row r="56" spans="2:27">
      <c r="B56" s="3" t="s">
        <v>83</v>
      </c>
      <c r="C56" s="12">
        <v>81028</v>
      </c>
      <c r="D56" s="12">
        <v>64011</v>
      </c>
      <c r="E56" s="12">
        <v>50397</v>
      </c>
      <c r="F56" s="12">
        <v>42489</v>
      </c>
      <c r="G56" s="12">
        <v>41790</v>
      </c>
      <c r="H56" s="31">
        <v>38924</v>
      </c>
      <c r="I56" s="31">
        <v>39049</v>
      </c>
      <c r="J56" s="31">
        <v>36495</v>
      </c>
      <c r="K56" s="31">
        <v>36495</v>
      </c>
      <c r="L56" s="31">
        <v>30713</v>
      </c>
      <c r="M56" s="16">
        <v>27910</v>
      </c>
      <c r="N56" s="16">
        <v>22176</v>
      </c>
      <c r="O56" s="16">
        <v>18183</v>
      </c>
      <c r="P56" s="16">
        <v>15562</v>
      </c>
      <c r="Q56" s="16">
        <v>17658</v>
      </c>
      <c r="R56" s="16">
        <v>18730</v>
      </c>
      <c r="S56" s="16">
        <v>17834</v>
      </c>
      <c r="T56"/>
      <c r="U56"/>
      <c r="V56"/>
      <c r="W56"/>
      <c r="X56"/>
      <c r="Y56"/>
      <c r="Z56"/>
      <c r="AA56"/>
    </row>
    <row r="57" spans="2:27">
      <c r="B57" s="3" t="s">
        <v>138</v>
      </c>
      <c r="C57" s="12">
        <v>124704</v>
      </c>
      <c r="D57" s="12">
        <v>99823</v>
      </c>
      <c r="E57" s="12">
        <v>82759</v>
      </c>
      <c r="F57" s="12">
        <v>72365</v>
      </c>
      <c r="G57" s="12">
        <v>65039</v>
      </c>
      <c r="H57" s="31">
        <v>60568</v>
      </c>
      <c r="I57" s="31">
        <v>59858</v>
      </c>
      <c r="J57" s="31">
        <v>56128</v>
      </c>
      <c r="K57" s="31">
        <v>56128</v>
      </c>
      <c r="L57" s="31">
        <v>44998</v>
      </c>
      <c r="M57" s="16">
        <v>41211</v>
      </c>
      <c r="N57" s="16">
        <v>35088</v>
      </c>
      <c r="O57" s="16">
        <v>29556</v>
      </c>
      <c r="P57" s="16">
        <v>27789</v>
      </c>
      <c r="Q57" s="16">
        <v>28938</v>
      </c>
      <c r="R57" s="16">
        <v>31799</v>
      </c>
      <c r="S57" s="16">
        <v>29278</v>
      </c>
      <c r="T57"/>
      <c r="U57"/>
      <c r="V57"/>
      <c r="W57"/>
      <c r="X57"/>
      <c r="Y57"/>
      <c r="Z57"/>
      <c r="AA57"/>
    </row>
    <row r="58" spans="2:27">
      <c r="H58" s="31"/>
      <c r="I58" s="31"/>
      <c r="J58" s="31"/>
      <c r="K58" s="31"/>
      <c r="L58" s="16"/>
      <c r="M58" s="16"/>
      <c r="N58" s="16"/>
      <c r="O58" s="16"/>
      <c r="P58" s="16"/>
      <c r="Q58" s="16"/>
      <c r="R58" s="16"/>
      <c r="S58" s="16"/>
      <c r="T58"/>
      <c r="U58"/>
      <c r="V58"/>
      <c r="W58"/>
      <c r="X58"/>
      <c r="Y58"/>
      <c r="Z58"/>
      <c r="AA58"/>
    </row>
    <row r="59" spans="2:27">
      <c r="B59" s="42"/>
      <c r="C59" s="42"/>
      <c r="D59" s="42"/>
      <c r="E59" s="42"/>
      <c r="F59" s="42"/>
      <c r="G59" s="47"/>
      <c r="H59" s="35"/>
      <c r="I59" s="35"/>
      <c r="J59" s="35"/>
      <c r="K59" s="35"/>
      <c r="L59" s="17"/>
      <c r="M59" s="17"/>
      <c r="N59" s="17"/>
      <c r="O59" s="17"/>
      <c r="P59" s="17"/>
      <c r="Q59" s="17"/>
      <c r="R59" s="17"/>
      <c r="S59" s="17"/>
      <c r="T59"/>
      <c r="U59"/>
      <c r="V59"/>
      <c r="W59"/>
      <c r="X59"/>
      <c r="Y59"/>
      <c r="Z59"/>
      <c r="AA59"/>
    </row>
    <row r="60" spans="2:27">
      <c r="B60" s="43"/>
      <c r="C60" s="43"/>
      <c r="D60" s="43"/>
      <c r="E60" s="43"/>
      <c r="F60" s="43"/>
      <c r="G60" s="49"/>
      <c r="H60" s="30"/>
      <c r="I60" s="30"/>
      <c r="J60" s="30"/>
      <c r="K60" s="30"/>
      <c r="L60" s="17"/>
      <c r="M60" s="17"/>
      <c r="N60" s="17"/>
      <c r="O60" s="17"/>
      <c r="P60" s="17"/>
      <c r="Q60" s="17"/>
      <c r="R60" s="17"/>
      <c r="S60" s="17"/>
      <c r="T60"/>
      <c r="U60"/>
      <c r="V60"/>
      <c r="W60"/>
      <c r="X60"/>
      <c r="Y60"/>
      <c r="Z60"/>
      <c r="AA60"/>
    </row>
    <row r="61" spans="2:27">
      <c r="B61" s="43"/>
      <c r="C61" s="43"/>
      <c r="D61" s="43"/>
      <c r="E61" s="43"/>
      <c r="F61" s="43"/>
      <c r="G61" s="49"/>
      <c r="H61" s="30"/>
      <c r="I61" s="30"/>
      <c r="J61" s="30"/>
      <c r="K61" s="30"/>
      <c r="L61" s="17"/>
      <c r="M61" s="17"/>
      <c r="N61" s="17"/>
      <c r="O61" s="17"/>
      <c r="P61" s="17"/>
      <c r="Q61" s="17"/>
      <c r="R61" s="17"/>
      <c r="S61" s="17"/>
      <c r="T61"/>
      <c r="U61"/>
      <c r="V61"/>
      <c r="W61"/>
      <c r="X61"/>
      <c r="Y61"/>
      <c r="Z61"/>
      <c r="AA61"/>
    </row>
  </sheetData>
  <pageMargins left="0.7" right="0.7" top="0.75" bottom="0.75" header="0.3" footer="0.3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6">
    <outlinePr summaryBelow="0" summaryRight="0"/>
    <pageSetUpPr fitToPage="1"/>
  </sheetPr>
  <dimension ref="B1:Z51"/>
  <sheetViews>
    <sheetView showGridLines="0" topLeftCell="B1" zoomScale="140" zoomScaleNormal="140" workbookViewId="0">
      <pane ySplit="3" topLeftCell="A19" activePane="bottomLeft" state="frozen"/>
      <selection activeCell="C4" sqref="C4"/>
      <selection pane="bottomLeft" activeCell="B23" sqref="B23"/>
    </sheetView>
  </sheetViews>
  <sheetFormatPr defaultRowHeight="12.5"/>
  <cols>
    <col min="1" max="1" width="0" hidden="1" customWidth="1"/>
    <col min="2" max="2" width="75.453125" style="3" bestFit="1" customWidth="1"/>
    <col min="3" max="6" width="11.7265625" style="3" customWidth="1"/>
    <col min="7" max="7" width="11.7265625" customWidth="1"/>
    <col min="8" max="8" width="11.7265625" style="3" customWidth="1"/>
    <col min="9" max="11" width="11.7265625" style="25" customWidth="1"/>
    <col min="12" max="18" width="11.7265625" style="2" customWidth="1"/>
    <col min="19" max="26" width="9.1796875" style="2"/>
  </cols>
  <sheetData>
    <row r="1" spans="2:26" ht="23">
      <c r="B1" s="1" t="s">
        <v>118</v>
      </c>
      <c r="C1" s="1"/>
      <c r="D1" s="1"/>
      <c r="E1" s="1"/>
      <c r="F1" s="1"/>
      <c r="G1" s="45"/>
      <c r="H1" s="1"/>
      <c r="Q1"/>
      <c r="R1"/>
      <c r="S1"/>
      <c r="T1"/>
      <c r="U1"/>
      <c r="V1"/>
      <c r="W1"/>
      <c r="X1"/>
      <c r="Y1"/>
      <c r="Z1"/>
    </row>
    <row r="2" spans="2:26" ht="23.25" customHeight="1">
      <c r="B2" s="4" t="s">
        <v>118</v>
      </c>
      <c r="C2" s="4"/>
      <c r="D2" s="4"/>
      <c r="E2" s="4"/>
      <c r="F2" s="4"/>
      <c r="G2" s="46"/>
      <c r="H2" s="4"/>
      <c r="I2" s="40"/>
      <c r="J2" s="40"/>
      <c r="K2" s="40"/>
      <c r="O2" s="2" t="s">
        <v>0</v>
      </c>
      <c r="P2" s="2" t="s">
        <v>0</v>
      </c>
      <c r="Q2" s="2" t="s">
        <v>0</v>
      </c>
      <c r="R2" s="2" t="s">
        <v>0</v>
      </c>
      <c r="T2"/>
      <c r="U2"/>
      <c r="V2"/>
      <c r="W2"/>
      <c r="X2"/>
      <c r="Y2"/>
      <c r="Z2"/>
    </row>
    <row r="3" spans="2:26" s="9" customFormat="1">
      <c r="B3" s="5" t="s">
        <v>39</v>
      </c>
      <c r="C3" s="9" t="s">
        <v>164</v>
      </c>
      <c r="D3" s="9" t="s">
        <v>152</v>
      </c>
      <c r="E3" s="9" t="s">
        <v>151</v>
      </c>
      <c r="F3" s="9" t="s">
        <v>148</v>
      </c>
      <c r="G3" s="9" t="s">
        <v>146</v>
      </c>
      <c r="H3" s="11" t="s">
        <v>145</v>
      </c>
      <c r="I3" s="41" t="s">
        <v>139</v>
      </c>
      <c r="J3" s="41" t="s">
        <v>134</v>
      </c>
      <c r="K3" s="41" t="s">
        <v>126</v>
      </c>
      <c r="L3" s="11" t="s">
        <v>121</v>
      </c>
      <c r="M3" s="11">
        <v>2015</v>
      </c>
      <c r="N3" s="11">
        <v>2014</v>
      </c>
      <c r="O3" s="11">
        <v>2013</v>
      </c>
      <c r="P3" s="11">
        <v>2012</v>
      </c>
      <c r="Q3" s="11">
        <v>2011</v>
      </c>
      <c r="R3" s="11">
        <v>2010</v>
      </c>
      <c r="S3" s="11"/>
    </row>
    <row r="4" spans="2:26">
      <c r="B4" s="3" t="s">
        <v>84</v>
      </c>
      <c r="I4" s="26"/>
      <c r="J4" s="26"/>
      <c r="K4" s="26"/>
      <c r="L4" s="3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2:26">
      <c r="B5" s="3" t="s">
        <v>9</v>
      </c>
      <c r="C5" s="12">
        <v>8019</v>
      </c>
      <c r="D5" s="12">
        <v>5289</v>
      </c>
      <c r="E5" s="12">
        <v>4418</v>
      </c>
      <c r="F5" s="12">
        <v>2819</v>
      </c>
      <c r="G5" s="12">
        <v>2577</v>
      </c>
      <c r="H5" s="36">
        <v>1112</v>
      </c>
      <c r="I5" s="36">
        <v>2607</v>
      </c>
      <c r="J5" s="36">
        <v>1796</v>
      </c>
      <c r="K5" s="36">
        <v>2099</v>
      </c>
      <c r="L5" s="12">
        <v>1611</v>
      </c>
      <c r="M5" s="12">
        <v>1731</v>
      </c>
      <c r="N5" s="12">
        <v>1523</v>
      </c>
      <c r="O5" s="12">
        <v>979</v>
      </c>
      <c r="P5" s="12">
        <v>2003</v>
      </c>
      <c r="Q5" s="12">
        <v>2783</v>
      </c>
      <c r="R5" s="12">
        <v>776</v>
      </c>
      <c r="S5" s="12"/>
      <c r="T5"/>
      <c r="U5"/>
      <c r="V5"/>
      <c r="W5"/>
      <c r="X5"/>
      <c r="Y5"/>
      <c r="Z5"/>
    </row>
    <row r="6" spans="2:26">
      <c r="B6" s="3" t="s">
        <v>106</v>
      </c>
      <c r="C6" s="12" t="s">
        <v>38</v>
      </c>
      <c r="D6" s="12" t="s">
        <v>38</v>
      </c>
      <c r="E6" s="12" t="s">
        <v>38</v>
      </c>
      <c r="F6" s="12" t="s">
        <v>38</v>
      </c>
      <c r="G6" s="12" t="s">
        <v>38</v>
      </c>
      <c r="H6" s="36" t="s">
        <v>38</v>
      </c>
      <c r="I6" s="36" t="s">
        <v>38</v>
      </c>
      <c r="J6" s="36" t="s">
        <v>38</v>
      </c>
      <c r="K6" s="36" t="s">
        <v>38</v>
      </c>
      <c r="L6" s="12" t="s">
        <v>38</v>
      </c>
      <c r="M6" s="13" t="s">
        <v>38</v>
      </c>
      <c r="N6" s="12" t="s">
        <v>38</v>
      </c>
      <c r="O6" s="12" t="s">
        <v>38</v>
      </c>
      <c r="P6" s="12" t="s">
        <v>38</v>
      </c>
      <c r="Q6" s="12">
        <v>-132</v>
      </c>
      <c r="R6" s="12">
        <v>-147</v>
      </c>
      <c r="S6" s="12"/>
      <c r="T6"/>
      <c r="U6"/>
      <c r="V6"/>
      <c r="W6"/>
      <c r="X6"/>
      <c r="Y6"/>
      <c r="Z6"/>
    </row>
    <row r="7" spans="2:26">
      <c r="B7" s="3" t="s">
        <v>85</v>
      </c>
      <c r="C7" s="12">
        <v>4725</v>
      </c>
      <c r="D7" s="12">
        <v>3369</v>
      </c>
      <c r="E7" s="12">
        <v>2950</v>
      </c>
      <c r="F7" s="12">
        <v>3319</v>
      </c>
      <c r="G7" s="12">
        <v>3513</v>
      </c>
      <c r="H7" s="36">
        <v>2033</v>
      </c>
      <c r="I7" s="36">
        <v>2132</v>
      </c>
      <c r="J7" s="36">
        <v>1808</v>
      </c>
      <c r="K7" s="36">
        <v>1479</v>
      </c>
      <c r="L7" s="12">
        <v>1226</v>
      </c>
      <c r="M7" s="12">
        <v>688</v>
      </c>
      <c r="N7" s="12">
        <v>723</v>
      </c>
      <c r="O7" s="12">
        <v>1224</v>
      </c>
      <c r="P7" s="12">
        <v>1082</v>
      </c>
      <c r="Q7" s="12">
        <v>141</v>
      </c>
      <c r="R7" s="12">
        <v>2317</v>
      </c>
      <c r="S7" s="12"/>
      <c r="T7"/>
      <c r="U7"/>
      <c r="V7"/>
      <c r="W7"/>
      <c r="X7"/>
      <c r="Y7"/>
      <c r="Z7"/>
    </row>
    <row r="8" spans="2:26">
      <c r="B8" s="3" t="s">
        <v>125</v>
      </c>
      <c r="C8" s="12">
        <v>77</v>
      </c>
      <c r="D8" s="12">
        <v>22</v>
      </c>
      <c r="E8" s="12">
        <v>36</v>
      </c>
      <c r="F8" s="12">
        <v>44</v>
      </c>
      <c r="G8" s="12">
        <v>72</v>
      </c>
      <c r="H8" s="36">
        <v>63</v>
      </c>
      <c r="I8" s="36">
        <v>20</v>
      </c>
      <c r="J8" s="36">
        <v>39</v>
      </c>
      <c r="K8" s="36">
        <v>26</v>
      </c>
      <c r="L8" s="12">
        <v>16</v>
      </c>
      <c r="M8" s="12">
        <v>25</v>
      </c>
      <c r="N8" s="12">
        <v>2</v>
      </c>
      <c r="O8" s="12" t="s">
        <v>38</v>
      </c>
      <c r="P8" s="12" t="s">
        <v>38</v>
      </c>
      <c r="Q8" s="12" t="s">
        <v>38</v>
      </c>
      <c r="R8" s="12" t="s">
        <v>38</v>
      </c>
      <c r="S8" s="12"/>
      <c r="T8"/>
      <c r="U8"/>
      <c r="V8"/>
      <c r="W8"/>
      <c r="X8"/>
      <c r="Y8"/>
      <c r="Z8"/>
    </row>
    <row r="9" spans="2:26">
      <c r="B9" s="3" t="s">
        <v>107</v>
      </c>
      <c r="C9" s="12">
        <v>-1036</v>
      </c>
      <c r="D9" s="12">
        <v>-945</v>
      </c>
      <c r="E9" s="12">
        <v>-856</v>
      </c>
      <c r="F9" s="12">
        <v>-596</v>
      </c>
      <c r="G9" s="12">
        <v>-373</v>
      </c>
      <c r="H9" s="36">
        <v>-144</v>
      </c>
      <c r="I9" s="36">
        <v>-408</v>
      </c>
      <c r="J9" s="36">
        <v>-479</v>
      </c>
      <c r="K9" s="36">
        <v>-272</v>
      </c>
      <c r="L9" s="12">
        <v>-120</v>
      </c>
      <c r="M9" s="12">
        <v>-266</v>
      </c>
      <c r="N9" s="12">
        <v>-394</v>
      </c>
      <c r="O9" s="12">
        <v>-368</v>
      </c>
      <c r="P9" s="12">
        <v>-574</v>
      </c>
      <c r="Q9" s="12">
        <v>-450</v>
      </c>
      <c r="R9" s="12">
        <v>-196</v>
      </c>
      <c r="S9" s="12"/>
      <c r="T9"/>
      <c r="U9"/>
      <c r="V9"/>
      <c r="W9"/>
      <c r="X9"/>
      <c r="Y9"/>
      <c r="Z9"/>
    </row>
    <row r="10" spans="2:26">
      <c r="B10" s="3" t="s">
        <v>86</v>
      </c>
      <c r="C10" s="12">
        <v>11785</v>
      </c>
      <c r="D10" s="12">
        <v>7735</v>
      </c>
      <c r="E10" s="12">
        <v>6548</v>
      </c>
      <c r="F10" s="12">
        <v>5586</v>
      </c>
      <c r="G10" s="12">
        <v>5789</v>
      </c>
      <c r="H10" s="36">
        <v>3064</v>
      </c>
      <c r="I10" s="36">
        <v>4351</v>
      </c>
      <c r="J10" s="36">
        <v>3164</v>
      </c>
      <c r="K10" s="36">
        <v>3332</v>
      </c>
      <c r="L10" s="12">
        <v>2733</v>
      </c>
      <c r="M10" s="12">
        <v>2178</v>
      </c>
      <c r="N10" s="12">
        <v>1854</v>
      </c>
      <c r="O10" s="12">
        <v>1835</v>
      </c>
      <c r="P10" s="12">
        <v>2511</v>
      </c>
      <c r="Q10" s="12">
        <v>2342</v>
      </c>
      <c r="R10" s="12">
        <v>2750</v>
      </c>
      <c r="S10" s="12"/>
      <c r="T10"/>
      <c r="U10"/>
      <c r="V10"/>
      <c r="W10"/>
      <c r="X10"/>
      <c r="Y10"/>
      <c r="Z10"/>
    </row>
    <row r="11" spans="2:26">
      <c r="B11" s="3" t="s">
        <v>87</v>
      </c>
      <c r="C11" s="12"/>
      <c r="D11" s="12"/>
      <c r="E11" s="12"/>
      <c r="F11" s="12"/>
      <c r="G11" s="12"/>
      <c r="H11" s="36"/>
      <c r="I11" s="36"/>
      <c r="J11" s="36"/>
      <c r="K11" s="36"/>
      <c r="L11" s="12"/>
      <c r="M11" s="12"/>
      <c r="N11" s="12"/>
      <c r="O11" s="12"/>
      <c r="P11" s="12"/>
      <c r="Q11" s="12"/>
      <c r="R11" s="12"/>
      <c r="S11" s="12"/>
      <c r="T11"/>
      <c r="U11"/>
      <c r="V11"/>
      <c r="W11"/>
      <c r="X11"/>
      <c r="Y11"/>
      <c r="Z11"/>
    </row>
    <row r="12" spans="2:26">
      <c r="B12" s="24" t="s">
        <v>129</v>
      </c>
      <c r="C12" s="36">
        <v>3800</v>
      </c>
      <c r="D12" s="36">
        <v>7218</v>
      </c>
      <c r="E12" s="36">
        <v>2915</v>
      </c>
      <c r="F12" s="36">
        <v>-153</v>
      </c>
      <c r="G12" s="36">
        <v>2929</v>
      </c>
      <c r="H12" s="36">
        <v>1704</v>
      </c>
      <c r="I12" s="36">
        <v>-1649</v>
      </c>
      <c r="J12" s="36">
        <v>-3039</v>
      </c>
      <c r="K12" s="36">
        <v>-718</v>
      </c>
      <c r="L12" s="12">
        <v>5092</v>
      </c>
      <c r="M12" s="12">
        <v>-2800</v>
      </c>
      <c r="N12" s="12">
        <v>-868</v>
      </c>
      <c r="O12" s="12">
        <v>-1564</v>
      </c>
      <c r="P12" s="12">
        <v>-603</v>
      </c>
      <c r="Q12" s="12">
        <v>512</v>
      </c>
      <c r="R12" s="12">
        <v>1222</v>
      </c>
      <c r="S12" s="12"/>
      <c r="T12"/>
      <c r="U12"/>
      <c r="V12"/>
      <c r="W12"/>
      <c r="X12"/>
      <c r="Y12"/>
      <c r="Z12"/>
    </row>
    <row r="13" spans="2:26">
      <c r="B13" s="24" t="s">
        <v>53</v>
      </c>
      <c r="C13" s="36">
        <v>-3811</v>
      </c>
      <c r="D13" s="36">
        <v>-4890</v>
      </c>
      <c r="E13" s="36">
        <v>-2691</v>
      </c>
      <c r="F13" s="36">
        <v>-2550</v>
      </c>
      <c r="G13" s="36">
        <v>-1320</v>
      </c>
      <c r="H13" s="36">
        <v>95</v>
      </c>
      <c r="I13" s="36">
        <v>-1141</v>
      </c>
      <c r="J13" s="36">
        <v>-1057</v>
      </c>
      <c r="K13" s="36">
        <v>-972</v>
      </c>
      <c r="L13" s="12">
        <v>-1329</v>
      </c>
      <c r="M13" s="12">
        <v>349</v>
      </c>
      <c r="N13" s="12">
        <v>-856</v>
      </c>
      <c r="O13" s="12">
        <v>-147</v>
      </c>
      <c r="P13" s="12">
        <v>-199</v>
      </c>
      <c r="Q13" s="12">
        <v>-243</v>
      </c>
      <c r="R13" s="12">
        <v>586</v>
      </c>
      <c r="S13" s="12"/>
      <c r="T13"/>
      <c r="U13"/>
      <c r="V13"/>
      <c r="W13"/>
      <c r="X13"/>
      <c r="Y13"/>
      <c r="Z13"/>
    </row>
    <row r="14" spans="2:26">
      <c r="B14" s="24" t="s">
        <v>127</v>
      </c>
      <c r="C14" s="36">
        <v>-3725</v>
      </c>
      <c r="D14" s="36">
        <v>-5464</v>
      </c>
      <c r="E14" s="36">
        <v>-1922</v>
      </c>
      <c r="F14" s="36">
        <v>-241</v>
      </c>
      <c r="G14" s="36">
        <v>-1636</v>
      </c>
      <c r="H14" s="36">
        <v>805</v>
      </c>
      <c r="I14" s="36">
        <v>176</v>
      </c>
      <c r="J14" s="36">
        <v>-1044</v>
      </c>
      <c r="K14" s="36">
        <v>925</v>
      </c>
      <c r="L14" s="12">
        <v>-2540</v>
      </c>
      <c r="M14" s="12">
        <v>511</v>
      </c>
      <c r="N14" s="12">
        <v>-64</v>
      </c>
      <c r="O14" s="12">
        <v>33</v>
      </c>
      <c r="P14" s="12">
        <v>-178</v>
      </c>
      <c r="Q14" s="12">
        <v>-27</v>
      </c>
      <c r="R14" s="12">
        <v>592</v>
      </c>
      <c r="S14" s="12"/>
      <c r="U14"/>
      <c r="V14"/>
      <c r="W14"/>
      <c r="X14"/>
      <c r="Y14"/>
      <c r="Z14"/>
    </row>
    <row r="15" spans="2:26">
      <c r="B15" s="24" t="s">
        <v>128</v>
      </c>
      <c r="C15" s="36">
        <v>4860</v>
      </c>
      <c r="D15" s="36">
        <v>3589</v>
      </c>
      <c r="E15" s="36">
        <v>2020</v>
      </c>
      <c r="F15" s="36">
        <v>2552</v>
      </c>
      <c r="G15" s="36">
        <v>401</v>
      </c>
      <c r="H15" s="36">
        <v>468</v>
      </c>
      <c r="I15" s="36">
        <v>-218</v>
      </c>
      <c r="J15" s="36">
        <v>1965</v>
      </c>
      <c r="K15" s="36">
        <v>704</v>
      </c>
      <c r="L15" s="12">
        <v>521</v>
      </c>
      <c r="M15" s="12">
        <v>426</v>
      </c>
      <c r="N15" s="12">
        <v>-243</v>
      </c>
      <c r="O15" s="12">
        <v>-542</v>
      </c>
      <c r="P15" s="12">
        <v>-672</v>
      </c>
      <c r="Q15" s="12">
        <v>438</v>
      </c>
      <c r="R15" s="12">
        <v>-366</v>
      </c>
      <c r="S15" s="12"/>
      <c r="T15"/>
      <c r="U15"/>
      <c r="V15"/>
      <c r="W15"/>
      <c r="X15"/>
      <c r="Y15"/>
      <c r="Z15"/>
    </row>
    <row r="16" spans="2:26">
      <c r="B16" s="3" t="s">
        <v>81</v>
      </c>
      <c r="C16" s="12">
        <v>-804</v>
      </c>
      <c r="D16" s="12">
        <v>-1456</v>
      </c>
      <c r="E16" s="12">
        <v>-408</v>
      </c>
      <c r="F16" s="12">
        <v>-540</v>
      </c>
      <c r="G16" s="12">
        <v>-450</v>
      </c>
      <c r="H16" s="36">
        <v>-336</v>
      </c>
      <c r="I16" s="36">
        <v>-325</v>
      </c>
      <c r="J16" s="36">
        <v>-479</v>
      </c>
      <c r="K16" s="36">
        <v>-107</v>
      </c>
      <c r="L16" s="12">
        <v>-323</v>
      </c>
      <c r="M16" s="12">
        <v>-306</v>
      </c>
      <c r="N16" s="12">
        <v>-536</v>
      </c>
      <c r="O16" s="12">
        <v>-277</v>
      </c>
      <c r="P16" s="12">
        <v>-509</v>
      </c>
      <c r="Q16" s="12">
        <v>-630</v>
      </c>
      <c r="R16" s="12">
        <v>-297</v>
      </c>
      <c r="S16" s="12"/>
      <c r="T16"/>
      <c r="U16"/>
      <c r="V16"/>
      <c r="W16"/>
      <c r="X16"/>
      <c r="Y16"/>
      <c r="Z16"/>
    </row>
    <row r="17" spans="2:26" s="17" customFormat="1">
      <c r="B17" s="15" t="s">
        <v>13</v>
      </c>
      <c r="C17" s="12">
        <v>12105</v>
      </c>
      <c r="D17" s="12">
        <v>6732</v>
      </c>
      <c r="E17" s="16">
        <v>6462</v>
      </c>
      <c r="F17" s="16">
        <v>4654</v>
      </c>
      <c r="G17" s="16">
        <v>5713</v>
      </c>
      <c r="H17" s="31">
        <v>5800</v>
      </c>
      <c r="I17" s="31">
        <v>1194</v>
      </c>
      <c r="J17" s="31">
        <v>-490</v>
      </c>
      <c r="K17" s="31">
        <v>3164</v>
      </c>
      <c r="L17" s="16">
        <v>4154</v>
      </c>
      <c r="M17" s="16">
        <v>358</v>
      </c>
      <c r="N17" s="16">
        <v>-713</v>
      </c>
      <c r="O17" s="16">
        <v>-662</v>
      </c>
      <c r="P17" s="16">
        <v>350</v>
      </c>
      <c r="Q17" s="16">
        <v>2392</v>
      </c>
      <c r="R17" s="16">
        <v>4487</v>
      </c>
      <c r="S17" s="16"/>
    </row>
    <row r="18" spans="2:26">
      <c r="B18" s="3" t="s">
        <v>88</v>
      </c>
      <c r="C18" s="12"/>
      <c r="D18" s="12"/>
      <c r="E18" s="12"/>
      <c r="F18" s="12"/>
      <c r="G18" s="12"/>
      <c r="H18" s="36"/>
      <c r="I18" s="36"/>
      <c r="J18" s="36"/>
      <c r="K18" s="36"/>
      <c r="L18" s="12"/>
      <c r="M18" s="12"/>
      <c r="N18" s="12"/>
      <c r="O18" s="12"/>
      <c r="P18" s="12"/>
      <c r="Q18" s="12"/>
      <c r="R18" s="12"/>
      <c r="S18" s="12"/>
      <c r="T18"/>
      <c r="U18"/>
      <c r="V18"/>
      <c r="W18"/>
      <c r="X18"/>
      <c r="Y18"/>
      <c r="Z18"/>
    </row>
    <row r="19" spans="2:26">
      <c r="B19" s="3" t="s">
        <v>89</v>
      </c>
      <c r="C19" s="12">
        <v>-731</v>
      </c>
      <c r="D19" s="12">
        <v>-530</v>
      </c>
      <c r="E19" s="12">
        <v>-547</v>
      </c>
      <c r="F19" s="12">
        <v>-500</v>
      </c>
      <c r="G19" s="12">
        <v>-891</v>
      </c>
      <c r="H19" s="36">
        <v>-1353</v>
      </c>
      <c r="I19" s="36">
        <v>-1392</v>
      </c>
      <c r="J19" s="36">
        <v>-1140</v>
      </c>
      <c r="K19" s="36">
        <v>-871</v>
      </c>
      <c r="L19" s="12">
        <v>-784</v>
      </c>
      <c r="M19" s="12">
        <v>-524</v>
      </c>
      <c r="N19" s="12">
        <v>-171</v>
      </c>
      <c r="O19" s="12">
        <v>-24</v>
      </c>
      <c r="P19" s="12">
        <v>-292</v>
      </c>
      <c r="Q19" s="12">
        <v>-15</v>
      </c>
      <c r="R19" s="12">
        <v>-47</v>
      </c>
      <c r="S19" s="12"/>
      <c r="T19"/>
      <c r="U19"/>
      <c r="V19"/>
      <c r="W19"/>
      <c r="X19"/>
      <c r="Y19"/>
      <c r="Z19"/>
    </row>
    <row r="20" spans="2:26">
      <c r="B20" s="3" t="s">
        <v>154</v>
      </c>
      <c r="C20" s="12">
        <v>-379</v>
      </c>
      <c r="D20" s="12">
        <v>-297</v>
      </c>
      <c r="E20" s="12">
        <v>-484</v>
      </c>
      <c r="F20" s="12">
        <v>-186</v>
      </c>
      <c r="G20" s="12">
        <v>-406</v>
      </c>
      <c r="H20" s="36">
        <v>-269</v>
      </c>
      <c r="I20" s="36">
        <v>-196</v>
      </c>
      <c r="J20" s="36">
        <v>-198</v>
      </c>
      <c r="K20" s="36">
        <v>-193</v>
      </c>
      <c r="L20" s="12">
        <v>-98</v>
      </c>
      <c r="M20" s="12">
        <v>-70</v>
      </c>
      <c r="N20" s="12">
        <v>-68</v>
      </c>
      <c r="O20" s="12">
        <v>-44</v>
      </c>
      <c r="P20" s="12">
        <v>-51</v>
      </c>
      <c r="Q20" s="12">
        <v>-26</v>
      </c>
      <c r="R20" s="12">
        <v>-70</v>
      </c>
      <c r="S20" s="12"/>
      <c r="T20"/>
      <c r="U20"/>
      <c r="V20"/>
      <c r="W20"/>
      <c r="X20"/>
      <c r="Y20"/>
      <c r="Z20"/>
    </row>
    <row r="21" spans="2:26">
      <c r="B21" s="3" t="s">
        <v>90</v>
      </c>
      <c r="C21" s="12">
        <v>-6112</v>
      </c>
      <c r="D21" s="12">
        <v>-4012</v>
      </c>
      <c r="E21" s="12">
        <v>-2507</v>
      </c>
      <c r="F21" s="12">
        <v>-1624</v>
      </c>
      <c r="G21" s="12">
        <v>-1223</v>
      </c>
      <c r="H21" s="36">
        <v>-1269</v>
      </c>
      <c r="I21" s="36">
        <v>-1213</v>
      </c>
      <c r="J21" s="36">
        <v>-1481</v>
      </c>
      <c r="K21" s="36">
        <v>-1093</v>
      </c>
      <c r="L21" s="12">
        <v>-807</v>
      </c>
      <c r="M21" s="12">
        <v>-799</v>
      </c>
      <c r="N21" s="12">
        <v>-732</v>
      </c>
      <c r="O21" s="12">
        <v>-543</v>
      </c>
      <c r="P21" s="12">
        <v>-328</v>
      </c>
      <c r="Q21" s="12">
        <v>-325</v>
      </c>
      <c r="R21" s="12">
        <v>-262</v>
      </c>
      <c r="S21" s="12"/>
      <c r="T21"/>
      <c r="U21"/>
      <c r="V21"/>
      <c r="W21"/>
      <c r="X21"/>
      <c r="Y21"/>
      <c r="Z21"/>
    </row>
    <row r="22" spans="2:26">
      <c r="B22" s="3" t="s">
        <v>91</v>
      </c>
      <c r="C22" s="36" t="s">
        <v>38</v>
      </c>
      <c r="D22" s="36" t="s">
        <v>38</v>
      </c>
      <c r="E22" s="36" t="s">
        <v>38</v>
      </c>
      <c r="F22" s="36" t="s">
        <v>38</v>
      </c>
      <c r="G22" s="36" t="s">
        <v>38</v>
      </c>
      <c r="H22" s="36" t="s">
        <v>38</v>
      </c>
      <c r="I22" s="36" t="s">
        <v>38</v>
      </c>
      <c r="J22" s="36" t="s">
        <v>38</v>
      </c>
      <c r="K22" s="36" t="s">
        <v>38</v>
      </c>
      <c r="L22" s="12" t="s">
        <v>38</v>
      </c>
      <c r="M22" s="13" t="s">
        <v>38</v>
      </c>
      <c r="N22" s="12" t="s">
        <v>38</v>
      </c>
      <c r="O22" s="12" t="s">
        <v>38</v>
      </c>
      <c r="P22" s="12">
        <v>-1</v>
      </c>
      <c r="Q22" s="12">
        <v>-1</v>
      </c>
      <c r="R22" s="12">
        <v>-2</v>
      </c>
      <c r="S22" s="12"/>
      <c r="T22"/>
      <c r="U22"/>
      <c r="V22"/>
      <c r="W22"/>
      <c r="X22"/>
      <c r="Y22"/>
      <c r="Z22"/>
    </row>
    <row r="23" spans="2:26">
      <c r="B23" s="3" t="s">
        <v>172</v>
      </c>
      <c r="C23" s="12">
        <v>35</v>
      </c>
      <c r="D23" s="12">
        <v>70</v>
      </c>
      <c r="E23" s="12">
        <v>4</v>
      </c>
      <c r="F23" s="12">
        <v>117</v>
      </c>
      <c r="G23" s="12">
        <v>26</v>
      </c>
      <c r="H23" s="36">
        <v>23</v>
      </c>
      <c r="I23" s="36">
        <v>32</v>
      </c>
      <c r="J23" s="36">
        <v>23</v>
      </c>
      <c r="K23" s="36">
        <v>25</v>
      </c>
      <c r="L23" s="12">
        <v>27</v>
      </c>
      <c r="M23" s="12">
        <v>7</v>
      </c>
      <c r="N23" s="12">
        <v>15</v>
      </c>
      <c r="O23" s="12">
        <v>46</v>
      </c>
      <c r="P23" s="12">
        <v>10</v>
      </c>
      <c r="Q23" s="12">
        <v>23</v>
      </c>
      <c r="R23" s="12">
        <v>11</v>
      </c>
      <c r="S23" s="12"/>
      <c r="T23"/>
      <c r="U23"/>
      <c r="V23"/>
      <c r="W23"/>
      <c r="X23"/>
      <c r="Y23"/>
      <c r="Z23"/>
    </row>
    <row r="24" spans="2:26">
      <c r="B24" s="3" t="s">
        <v>92</v>
      </c>
      <c r="C24" s="36" t="s">
        <v>38</v>
      </c>
      <c r="D24" s="36" t="s">
        <v>38</v>
      </c>
      <c r="E24" s="36" t="s">
        <v>38</v>
      </c>
      <c r="F24" s="36" t="s">
        <v>38</v>
      </c>
      <c r="G24" s="36" t="s">
        <v>38</v>
      </c>
      <c r="H24" s="36" t="s">
        <v>38</v>
      </c>
      <c r="I24" s="36" t="s">
        <v>38</v>
      </c>
      <c r="J24" s="36" t="s">
        <v>38</v>
      </c>
      <c r="K24" s="36" t="s">
        <v>38</v>
      </c>
      <c r="L24" s="12" t="s">
        <v>38</v>
      </c>
      <c r="M24" s="13" t="s">
        <v>38</v>
      </c>
      <c r="N24" s="12">
        <v>105</v>
      </c>
      <c r="O24" s="12">
        <v>81</v>
      </c>
      <c r="P24" s="12">
        <v>312</v>
      </c>
      <c r="Q24" s="12">
        <v>301</v>
      </c>
      <c r="R24" s="12">
        <v>65</v>
      </c>
      <c r="S24" s="12"/>
      <c r="T24"/>
      <c r="U24"/>
      <c r="V24"/>
      <c r="W24"/>
      <c r="X24"/>
      <c r="Y24"/>
      <c r="Z24"/>
    </row>
    <row r="25" spans="2:26">
      <c r="B25" s="3" t="s">
        <v>122</v>
      </c>
      <c r="C25" s="12">
        <v>-2728</v>
      </c>
      <c r="D25" s="12">
        <v>2471</v>
      </c>
      <c r="E25" s="12">
        <v>-1233</v>
      </c>
      <c r="F25" s="12">
        <v>-49</v>
      </c>
      <c r="G25" s="12">
        <v>-2085</v>
      </c>
      <c r="H25" s="36">
        <v>-2312</v>
      </c>
      <c r="I25" s="36">
        <v>3219</v>
      </c>
      <c r="J25" s="36">
        <v>-4554</v>
      </c>
      <c r="K25" s="36">
        <v>63</v>
      </c>
      <c r="L25" s="12">
        <v>-1525</v>
      </c>
      <c r="M25" s="12">
        <v>-1722</v>
      </c>
      <c r="N25" s="12">
        <v>720</v>
      </c>
      <c r="O25" s="12">
        <v>1936</v>
      </c>
      <c r="P25" s="12">
        <v>585</v>
      </c>
      <c r="Q25" s="12">
        <v>-2967</v>
      </c>
      <c r="R25" s="12">
        <v>-993</v>
      </c>
      <c r="S25" s="12"/>
      <c r="T25"/>
      <c r="U25"/>
      <c r="V25"/>
      <c r="W25"/>
      <c r="X25"/>
      <c r="Y25"/>
      <c r="Z25"/>
    </row>
    <row r="26" spans="2:26">
      <c r="B26" s="15" t="s">
        <v>93</v>
      </c>
      <c r="C26" s="36" t="s">
        <v>38</v>
      </c>
      <c r="D26" s="36" t="s">
        <v>38</v>
      </c>
      <c r="E26" s="31" t="s">
        <v>38</v>
      </c>
      <c r="F26" s="31" t="s">
        <v>38</v>
      </c>
      <c r="G26" s="31" t="s">
        <v>38</v>
      </c>
      <c r="H26" s="31" t="s">
        <v>38</v>
      </c>
      <c r="I26" s="31" t="s">
        <v>38</v>
      </c>
      <c r="J26" s="31" t="s">
        <v>38</v>
      </c>
      <c r="K26" s="31" t="s">
        <v>38</v>
      </c>
      <c r="L26" s="16" t="s">
        <v>38</v>
      </c>
      <c r="M26" s="16" t="s">
        <v>38</v>
      </c>
      <c r="N26" s="16" t="s">
        <v>38</v>
      </c>
      <c r="O26" s="16">
        <v>430</v>
      </c>
      <c r="P26" s="16" t="s">
        <v>38</v>
      </c>
      <c r="Q26" s="16" t="s">
        <v>38</v>
      </c>
      <c r="R26" s="16" t="s">
        <v>38</v>
      </c>
      <c r="S26" s="16"/>
      <c r="T26"/>
      <c r="U26"/>
      <c r="V26"/>
      <c r="W26"/>
      <c r="X26"/>
      <c r="Y26"/>
      <c r="Z26"/>
    </row>
    <row r="27" spans="2:26" ht="12" customHeight="1">
      <c r="B27" s="3" t="s">
        <v>133</v>
      </c>
      <c r="C27" s="12">
        <v>-2207</v>
      </c>
      <c r="D27" s="12">
        <v>-1894</v>
      </c>
      <c r="E27" s="12">
        <v>-1268</v>
      </c>
      <c r="F27" s="12">
        <v>-240</v>
      </c>
      <c r="G27" s="12">
        <v>-125</v>
      </c>
      <c r="H27" s="31">
        <v>-97</v>
      </c>
      <c r="I27" s="31">
        <v>-171</v>
      </c>
      <c r="J27" s="31">
        <v>-48</v>
      </c>
      <c r="K27" s="31">
        <v>-30</v>
      </c>
      <c r="L27" s="16">
        <v>-169</v>
      </c>
      <c r="M27" s="16">
        <v>-368</v>
      </c>
      <c r="N27" s="16" t="s">
        <v>38</v>
      </c>
      <c r="O27" s="16">
        <v>-238</v>
      </c>
      <c r="P27" s="16" t="s">
        <v>38</v>
      </c>
      <c r="Q27" s="16" t="s">
        <v>38</v>
      </c>
      <c r="R27" s="16">
        <v>-6</v>
      </c>
      <c r="S27" s="16"/>
      <c r="T27"/>
      <c r="U27"/>
      <c r="V27"/>
      <c r="W27"/>
      <c r="X27"/>
      <c r="Y27"/>
      <c r="Z27"/>
    </row>
    <row r="28" spans="2:26" ht="12" customHeight="1">
      <c r="B28" s="15" t="s">
        <v>132</v>
      </c>
      <c r="C28" s="12" t="s">
        <v>38</v>
      </c>
      <c r="D28" s="12" t="s">
        <v>38</v>
      </c>
      <c r="E28" s="16" t="s">
        <v>38</v>
      </c>
      <c r="F28" s="16">
        <v>2</v>
      </c>
      <c r="G28" s="16">
        <v>3</v>
      </c>
      <c r="H28" s="31">
        <v>1110</v>
      </c>
      <c r="I28" s="31">
        <v>35</v>
      </c>
      <c r="J28" s="31">
        <v>62</v>
      </c>
      <c r="K28" s="31">
        <v>104</v>
      </c>
      <c r="L28" s="31">
        <v>25</v>
      </c>
      <c r="M28" s="31">
        <v>226</v>
      </c>
      <c r="N28" s="31">
        <v>40</v>
      </c>
      <c r="O28" s="31" t="s">
        <v>38</v>
      </c>
      <c r="P28" s="31">
        <v>26</v>
      </c>
      <c r="Q28" s="31">
        <v>306</v>
      </c>
      <c r="R28" s="31"/>
      <c r="S28" s="31"/>
      <c r="T28" s="39"/>
      <c r="U28" s="28"/>
      <c r="V28"/>
      <c r="W28"/>
      <c r="X28"/>
      <c r="Y28"/>
      <c r="Z28"/>
    </row>
    <row r="29" spans="2:26">
      <c r="B29" s="15" t="s">
        <v>130</v>
      </c>
      <c r="C29" s="12">
        <v>-60</v>
      </c>
      <c r="D29" s="12">
        <v>-15</v>
      </c>
      <c r="E29" s="12">
        <v>-262</v>
      </c>
      <c r="F29" s="16" t="s">
        <v>38</v>
      </c>
      <c r="G29" s="16">
        <v>-21</v>
      </c>
      <c r="H29" s="31">
        <v>-4</v>
      </c>
      <c r="I29" s="31" t="s">
        <v>38</v>
      </c>
      <c r="J29" s="31">
        <v>15</v>
      </c>
      <c r="K29" s="31">
        <v>-170</v>
      </c>
      <c r="L29" s="31">
        <v>-49</v>
      </c>
      <c r="M29" s="31">
        <v>-221</v>
      </c>
      <c r="N29" s="31">
        <v>152</v>
      </c>
      <c r="O29" s="31">
        <v>-68</v>
      </c>
      <c r="P29" s="31">
        <v>-568</v>
      </c>
      <c r="Q29" s="31">
        <v>-1135</v>
      </c>
      <c r="R29" s="31" t="s">
        <v>38</v>
      </c>
      <c r="S29" s="31"/>
      <c r="T29" s="39"/>
      <c r="U29"/>
      <c r="V29"/>
      <c r="W29"/>
      <c r="X29"/>
      <c r="Y29"/>
      <c r="Z29"/>
    </row>
    <row r="30" spans="2:26">
      <c r="B30" s="15" t="s">
        <v>131</v>
      </c>
      <c r="C30" s="12" t="s">
        <v>38</v>
      </c>
      <c r="D30" s="12" t="s">
        <v>38</v>
      </c>
      <c r="E30" s="12" t="s">
        <v>38</v>
      </c>
      <c r="F30" s="16" t="s">
        <v>38</v>
      </c>
      <c r="G30" s="16">
        <v>19</v>
      </c>
      <c r="H30" s="31">
        <v>169</v>
      </c>
      <c r="I30" s="31" t="s">
        <v>38</v>
      </c>
      <c r="J30" s="31">
        <v>33</v>
      </c>
      <c r="K30" s="31" t="s">
        <v>38</v>
      </c>
      <c r="L30" s="16">
        <v>77</v>
      </c>
      <c r="M30" s="16">
        <v>312</v>
      </c>
      <c r="N30" s="16">
        <v>299</v>
      </c>
      <c r="O30" s="16" t="s">
        <v>38</v>
      </c>
      <c r="P30" s="16">
        <v>174</v>
      </c>
      <c r="Q30" s="16">
        <v>1264</v>
      </c>
      <c r="R30" s="16">
        <v>161</v>
      </c>
      <c r="S30" s="16"/>
      <c r="T30"/>
      <c r="U30"/>
      <c r="V30"/>
      <c r="W30"/>
      <c r="X30"/>
      <c r="Y30"/>
      <c r="Z30"/>
    </row>
    <row r="31" spans="2:26">
      <c r="B31" s="15" t="s">
        <v>155</v>
      </c>
      <c r="C31" s="12">
        <v>539</v>
      </c>
      <c r="D31" s="12">
        <v>25</v>
      </c>
      <c r="E31" s="16">
        <v>382</v>
      </c>
      <c r="F31" s="16">
        <v>42</v>
      </c>
      <c r="G31" s="16" t="s">
        <v>38</v>
      </c>
      <c r="H31" s="31" t="s">
        <v>38</v>
      </c>
      <c r="I31" s="31" t="s">
        <v>38</v>
      </c>
      <c r="J31" s="31" t="s">
        <v>38</v>
      </c>
      <c r="K31" s="31" t="s">
        <v>38</v>
      </c>
      <c r="L31" s="16" t="s">
        <v>38</v>
      </c>
      <c r="M31" s="16" t="s">
        <v>38</v>
      </c>
      <c r="N31" s="16" t="s">
        <v>38</v>
      </c>
      <c r="O31" s="16" t="s">
        <v>38</v>
      </c>
      <c r="P31" s="16" t="s">
        <v>38</v>
      </c>
      <c r="Q31" s="16" t="s">
        <v>38</v>
      </c>
      <c r="R31" s="16" t="s">
        <v>38</v>
      </c>
      <c r="S31" s="16"/>
      <c r="T31"/>
      <c r="U31"/>
      <c r="V31"/>
      <c r="W31"/>
      <c r="X31"/>
      <c r="Y31"/>
      <c r="Z31"/>
    </row>
    <row r="32" spans="2:26">
      <c r="B32" s="3" t="s">
        <v>94</v>
      </c>
      <c r="C32" s="12">
        <v>-11643</v>
      </c>
      <c r="D32" s="12">
        <v>-4182</v>
      </c>
      <c r="E32" s="12">
        <v>-5915</v>
      </c>
      <c r="F32" s="12">
        <v>-2438</v>
      </c>
      <c r="G32" s="12">
        <v>-4703</v>
      </c>
      <c r="H32" s="36">
        <v>-4002</v>
      </c>
      <c r="I32" s="36">
        <v>314</v>
      </c>
      <c r="J32" s="36">
        <v>-7288</v>
      </c>
      <c r="K32" s="36">
        <v>-2165</v>
      </c>
      <c r="L32" s="12">
        <v>-3303</v>
      </c>
      <c r="M32" s="12">
        <v>-3159</v>
      </c>
      <c r="N32" s="12">
        <v>360</v>
      </c>
      <c r="O32" s="12">
        <v>1576</v>
      </c>
      <c r="P32" s="12">
        <v>-133</v>
      </c>
      <c r="Q32" s="12">
        <v>-2575</v>
      </c>
      <c r="R32" s="12">
        <v>-1143</v>
      </c>
      <c r="S32" s="12"/>
      <c r="T32"/>
      <c r="U32"/>
      <c r="V32"/>
      <c r="W32"/>
      <c r="X32"/>
      <c r="Y32"/>
      <c r="Z32"/>
    </row>
    <row r="33" spans="2:26">
      <c r="B33" s="3" t="s">
        <v>95</v>
      </c>
      <c r="C33" s="12"/>
      <c r="D33" s="12"/>
      <c r="E33" s="12"/>
      <c r="F33" s="12"/>
      <c r="G33" s="12"/>
      <c r="H33" s="36"/>
      <c r="I33" s="36"/>
      <c r="J33" s="36"/>
      <c r="K33" s="36"/>
      <c r="L33" s="12"/>
      <c r="M33" s="12"/>
      <c r="N33" s="12"/>
      <c r="O33" s="12"/>
      <c r="P33" s="12"/>
      <c r="Q33" s="12"/>
      <c r="R33" s="12"/>
      <c r="S33" s="12"/>
      <c r="T33"/>
      <c r="U33"/>
      <c r="V33"/>
      <c r="W33"/>
      <c r="X33"/>
      <c r="Y33"/>
      <c r="Z33"/>
    </row>
    <row r="34" spans="2:26">
      <c r="B34" s="3" t="s">
        <v>96</v>
      </c>
      <c r="C34" s="12">
        <v>-173</v>
      </c>
      <c r="D34" s="12">
        <v>-678</v>
      </c>
      <c r="E34" s="12">
        <v>-1075</v>
      </c>
      <c r="F34" s="12">
        <v>-1386</v>
      </c>
      <c r="G34" s="12">
        <v>-2538</v>
      </c>
      <c r="H34" s="36">
        <v>-3077</v>
      </c>
      <c r="I34" s="36">
        <v>-990</v>
      </c>
      <c r="J34" s="36">
        <v>-967</v>
      </c>
      <c r="K34" s="36">
        <v>-1301</v>
      </c>
      <c r="L34" s="12">
        <v>-582</v>
      </c>
      <c r="M34" s="12">
        <v>-1865</v>
      </c>
      <c r="N34" s="12">
        <v>-468</v>
      </c>
      <c r="O34" s="12">
        <v>-1100</v>
      </c>
      <c r="P34" s="12">
        <v>-19</v>
      </c>
      <c r="Q34" s="12">
        <v>-50</v>
      </c>
      <c r="R34" s="12">
        <v>-1950</v>
      </c>
      <c r="S34" s="12"/>
      <c r="T34"/>
      <c r="U34"/>
      <c r="V34"/>
      <c r="W34"/>
      <c r="X34"/>
      <c r="Y34"/>
      <c r="Z34"/>
    </row>
    <row r="35" spans="2:26">
      <c r="B35" s="3" t="s">
        <v>143</v>
      </c>
      <c r="C35" s="12">
        <v>-726</v>
      </c>
      <c r="D35" s="12">
        <v>-690</v>
      </c>
      <c r="E35" s="12">
        <v>-586</v>
      </c>
      <c r="F35" s="12">
        <v>-524</v>
      </c>
      <c r="G35" s="12">
        <v>-469</v>
      </c>
      <c r="H35" s="36">
        <v>-437</v>
      </c>
      <c r="I35" s="36">
        <v>-415</v>
      </c>
      <c r="J35" s="31" t="s">
        <v>38</v>
      </c>
      <c r="K35" s="31" t="s">
        <v>38</v>
      </c>
      <c r="L35" s="31" t="s">
        <v>38</v>
      </c>
      <c r="M35" s="31" t="s">
        <v>38</v>
      </c>
      <c r="N35" s="31" t="s">
        <v>38</v>
      </c>
      <c r="O35" s="31" t="s">
        <v>38</v>
      </c>
      <c r="P35" s="31" t="s">
        <v>38</v>
      </c>
      <c r="Q35" s="31" t="s">
        <v>38</v>
      </c>
      <c r="R35" s="31" t="s">
        <v>38</v>
      </c>
      <c r="S35" s="12"/>
      <c r="T35"/>
      <c r="U35"/>
      <c r="V35"/>
      <c r="W35"/>
      <c r="X35"/>
      <c r="Y35"/>
      <c r="Z35"/>
    </row>
    <row r="36" spans="2:26">
      <c r="B36" s="3" t="s">
        <v>97</v>
      </c>
      <c r="C36" s="12">
        <v>2600</v>
      </c>
      <c r="D36" s="12">
        <v>331</v>
      </c>
      <c r="E36" s="12">
        <v>1250</v>
      </c>
      <c r="F36" s="12">
        <v>1394</v>
      </c>
      <c r="G36" s="12">
        <v>2248</v>
      </c>
      <c r="H36" s="36">
        <v>2728</v>
      </c>
      <c r="I36" s="36">
        <v>8</v>
      </c>
      <c r="J36" s="36">
        <v>3820</v>
      </c>
      <c r="K36" s="36">
        <v>1700</v>
      </c>
      <c r="L36" s="12">
        <v>732</v>
      </c>
      <c r="M36" s="12">
        <v>4758</v>
      </c>
      <c r="N36" s="12">
        <v>1000</v>
      </c>
      <c r="O36" s="12">
        <v>845</v>
      </c>
      <c r="P36" s="12" t="s">
        <v>38</v>
      </c>
      <c r="Q36" s="12" t="s">
        <v>38</v>
      </c>
      <c r="R36" s="12" t="s">
        <v>38</v>
      </c>
      <c r="S36" s="12"/>
      <c r="T36"/>
      <c r="U36"/>
      <c r="V36"/>
      <c r="W36"/>
      <c r="X36"/>
      <c r="Y36"/>
      <c r="Z36"/>
    </row>
    <row r="37" spans="2:26">
      <c r="B37" s="3" t="s">
        <v>135</v>
      </c>
      <c r="C37" s="36" t="s">
        <v>38</v>
      </c>
      <c r="D37" s="36" t="s">
        <v>38</v>
      </c>
      <c r="E37" s="31" t="s">
        <v>38</v>
      </c>
      <c r="F37" s="31" t="s">
        <v>38</v>
      </c>
      <c r="G37" s="31" t="s">
        <v>38</v>
      </c>
      <c r="H37" s="31" t="s">
        <v>38</v>
      </c>
      <c r="I37" s="36">
        <v>11</v>
      </c>
      <c r="J37" s="36">
        <v>5967</v>
      </c>
      <c r="K37" s="31" t="s">
        <v>38</v>
      </c>
      <c r="L37" s="31" t="s">
        <v>38</v>
      </c>
      <c r="M37" s="31" t="s">
        <v>38</v>
      </c>
      <c r="N37" s="31" t="s">
        <v>38</v>
      </c>
      <c r="O37" s="31" t="s">
        <v>38</v>
      </c>
      <c r="P37" s="31" t="s">
        <v>38</v>
      </c>
      <c r="Q37" s="31" t="s">
        <v>38</v>
      </c>
      <c r="R37" s="31" t="s">
        <v>38</v>
      </c>
      <c r="S37" s="31"/>
      <c r="T37"/>
      <c r="U37"/>
      <c r="V37"/>
      <c r="W37"/>
      <c r="X37"/>
      <c r="Y37"/>
      <c r="Z37"/>
    </row>
    <row r="38" spans="2:26">
      <c r="B38" s="3" t="s">
        <v>98</v>
      </c>
      <c r="C38" s="12" t="s">
        <v>38</v>
      </c>
      <c r="D38" s="12" t="s">
        <v>38</v>
      </c>
      <c r="E38" s="12" t="s">
        <v>38</v>
      </c>
      <c r="F38" s="12" t="s">
        <v>38</v>
      </c>
      <c r="G38" s="12">
        <v>-246</v>
      </c>
      <c r="H38" s="36">
        <v>-242</v>
      </c>
      <c r="I38" s="36">
        <v>-301</v>
      </c>
      <c r="J38" s="36">
        <v>-203</v>
      </c>
      <c r="K38" s="36" t="s">
        <v>38</v>
      </c>
      <c r="L38" s="12" t="s">
        <v>38</v>
      </c>
      <c r="M38" s="13" t="s">
        <v>38</v>
      </c>
      <c r="N38" s="12">
        <v>-252</v>
      </c>
      <c r="O38" s="12" t="s">
        <v>38</v>
      </c>
      <c r="P38" s="12" t="s">
        <v>38</v>
      </c>
      <c r="Q38" s="12" t="s">
        <v>38</v>
      </c>
      <c r="R38" s="12">
        <v>-80</v>
      </c>
      <c r="S38" s="12"/>
      <c r="T38"/>
      <c r="U38"/>
      <c r="V38"/>
      <c r="W38"/>
      <c r="X38"/>
      <c r="Y38"/>
      <c r="Z38"/>
    </row>
    <row r="39" spans="2:26">
      <c r="B39" s="3" t="s">
        <v>99</v>
      </c>
      <c r="C39" s="12">
        <v>-1076</v>
      </c>
      <c r="D39" s="12">
        <v>-856</v>
      </c>
      <c r="E39" s="12">
        <v>-703</v>
      </c>
      <c r="F39" s="12">
        <v>-647</v>
      </c>
      <c r="G39" s="12">
        <v>-622</v>
      </c>
      <c r="H39" s="31" t="s">
        <v>38</v>
      </c>
      <c r="I39" s="36">
        <v>-601</v>
      </c>
      <c r="J39" s="36">
        <v>-588</v>
      </c>
      <c r="K39" s="36">
        <v>-559</v>
      </c>
      <c r="L39" s="12">
        <v>-530</v>
      </c>
      <c r="M39" s="12">
        <v>-501</v>
      </c>
      <c r="N39" s="12">
        <v>-479</v>
      </c>
      <c r="O39" s="12">
        <v>-477</v>
      </c>
      <c r="P39" s="12">
        <v>-474</v>
      </c>
      <c r="Q39" s="12">
        <v>-367</v>
      </c>
      <c r="R39" s="12">
        <v>-237</v>
      </c>
      <c r="S39" s="12"/>
      <c r="T39"/>
      <c r="U39"/>
      <c r="V39"/>
      <c r="W39"/>
      <c r="X39"/>
      <c r="Y39"/>
      <c r="Z39"/>
    </row>
    <row r="40" spans="2:26">
      <c r="B40" s="3" t="s">
        <v>100</v>
      </c>
      <c r="C40" s="12">
        <v>-51</v>
      </c>
      <c r="D40" s="12">
        <v>-41</v>
      </c>
      <c r="E40" s="12">
        <v>-126</v>
      </c>
      <c r="F40" s="12">
        <v>-62</v>
      </c>
      <c r="G40" s="12">
        <v>-27</v>
      </c>
      <c r="H40" s="36">
        <v>-12</v>
      </c>
      <c r="I40" s="36">
        <v>-24</v>
      </c>
      <c r="J40" s="36">
        <v>-24</v>
      </c>
      <c r="K40" s="36">
        <v>-4</v>
      </c>
      <c r="L40" s="12">
        <v>-5</v>
      </c>
      <c r="M40" s="12">
        <v>-10</v>
      </c>
      <c r="N40" s="12">
        <v>-5</v>
      </c>
      <c r="O40" s="12">
        <v>-1</v>
      </c>
      <c r="P40" s="12" t="s">
        <v>38</v>
      </c>
      <c r="Q40" s="12" t="s">
        <v>38</v>
      </c>
      <c r="R40" s="12" t="s">
        <v>38</v>
      </c>
      <c r="S40" s="12"/>
      <c r="T40"/>
      <c r="U40"/>
      <c r="V40"/>
      <c r="W40"/>
      <c r="X40"/>
      <c r="Y40"/>
      <c r="Z40"/>
    </row>
    <row r="41" spans="2:26">
      <c r="B41" s="3" t="s">
        <v>123</v>
      </c>
      <c r="C41" s="12">
        <v>73</v>
      </c>
      <c r="D41" s="12" t="s">
        <v>38</v>
      </c>
      <c r="E41" s="12">
        <v>10</v>
      </c>
      <c r="F41" s="12">
        <v>47</v>
      </c>
      <c r="G41" s="12">
        <v>15</v>
      </c>
      <c r="H41" s="36">
        <v>-85</v>
      </c>
      <c r="I41" s="36">
        <v>8</v>
      </c>
      <c r="J41" s="36">
        <v>-14</v>
      </c>
      <c r="K41" s="36" t="s">
        <v>38</v>
      </c>
      <c r="L41" s="12">
        <v>15</v>
      </c>
      <c r="M41" s="13" t="s">
        <v>38</v>
      </c>
      <c r="N41" s="12" t="s">
        <v>38</v>
      </c>
      <c r="O41" s="12" t="s">
        <v>38</v>
      </c>
      <c r="P41" s="12" t="s">
        <v>38</v>
      </c>
      <c r="Q41" s="12" t="s">
        <v>38</v>
      </c>
      <c r="R41" s="12" t="s">
        <v>38</v>
      </c>
      <c r="S41" s="12"/>
      <c r="T41"/>
      <c r="U41"/>
      <c r="V41"/>
      <c r="W41"/>
      <c r="X41"/>
      <c r="Y41"/>
      <c r="Z41"/>
    </row>
    <row r="42" spans="2:26">
      <c r="B42" s="3" t="s">
        <v>101</v>
      </c>
      <c r="C42" s="12">
        <v>647</v>
      </c>
      <c r="D42" s="12">
        <v>-1934</v>
      </c>
      <c r="E42" s="12">
        <v>-1230</v>
      </c>
      <c r="F42" s="12">
        <v>-1178</v>
      </c>
      <c r="G42" s="12">
        <v>-1639</v>
      </c>
      <c r="H42" s="36">
        <v>-1125</v>
      </c>
      <c r="I42" s="36">
        <v>-2304</v>
      </c>
      <c r="J42" s="36">
        <v>7991</v>
      </c>
      <c r="K42" s="36">
        <v>-164</v>
      </c>
      <c r="L42" s="12">
        <v>-370</v>
      </c>
      <c r="M42" s="12">
        <v>2382</v>
      </c>
      <c r="N42" s="12">
        <v>-204</v>
      </c>
      <c r="O42" s="12">
        <v>-733</v>
      </c>
      <c r="P42" s="12">
        <v>-493</v>
      </c>
      <c r="Q42" s="12">
        <v>-417</v>
      </c>
      <c r="R42" s="12">
        <v>-2267</v>
      </c>
      <c r="S42" s="12"/>
      <c r="T42"/>
      <c r="U42"/>
      <c r="V42"/>
      <c r="W42"/>
      <c r="X42"/>
      <c r="Y42"/>
      <c r="Z42"/>
    </row>
    <row r="43" spans="2:26">
      <c r="B43" s="3" t="s">
        <v>102</v>
      </c>
      <c r="C43" s="12">
        <v>1109</v>
      </c>
      <c r="D43" s="12">
        <v>616</v>
      </c>
      <c r="E43" s="12">
        <v>-683</v>
      </c>
      <c r="F43" s="12">
        <v>1038</v>
      </c>
      <c r="G43" s="12">
        <v>-629</v>
      </c>
      <c r="H43" s="36">
        <v>673</v>
      </c>
      <c r="I43" s="36">
        <v>-796</v>
      </c>
      <c r="J43" s="36">
        <v>213</v>
      </c>
      <c r="K43" s="36">
        <v>835</v>
      </c>
      <c r="L43" s="12">
        <v>481</v>
      </c>
      <c r="M43" s="12">
        <v>-419</v>
      </c>
      <c r="N43" s="12">
        <v>-557</v>
      </c>
      <c r="O43" s="12">
        <v>181</v>
      </c>
      <c r="P43" s="12">
        <v>-276</v>
      </c>
      <c r="Q43" s="12">
        <v>-600</v>
      </c>
      <c r="R43" s="12">
        <v>1077</v>
      </c>
      <c r="S43" s="12"/>
      <c r="T43"/>
      <c r="U43"/>
      <c r="V43"/>
      <c r="W43"/>
      <c r="X43"/>
      <c r="Y43"/>
      <c r="Z43"/>
    </row>
    <row r="44" spans="2:26">
      <c r="B44" s="3" t="s">
        <v>103</v>
      </c>
      <c r="C44" s="12">
        <v>2843</v>
      </c>
      <c r="D44" s="12">
        <v>2129</v>
      </c>
      <c r="E44" s="12">
        <v>2869</v>
      </c>
      <c r="F44" s="12">
        <v>1701</v>
      </c>
      <c r="G44" s="12">
        <v>2273</v>
      </c>
      <c r="H44" s="36">
        <v>1687</v>
      </c>
      <c r="I44" s="36">
        <v>2451</v>
      </c>
      <c r="J44" s="36">
        <v>2202</v>
      </c>
      <c r="K44" s="36">
        <v>1402</v>
      </c>
      <c r="L44" s="12">
        <v>850</v>
      </c>
      <c r="M44" s="12">
        <v>1284</v>
      </c>
      <c r="N44" s="12">
        <v>1764</v>
      </c>
      <c r="O44" s="12">
        <v>1616</v>
      </c>
      <c r="P44" s="12">
        <v>1918</v>
      </c>
      <c r="Q44" s="12">
        <v>2544</v>
      </c>
      <c r="R44" s="12">
        <v>1463</v>
      </c>
      <c r="S44" s="12"/>
      <c r="T44"/>
      <c r="U44"/>
      <c r="V44"/>
      <c r="W44"/>
      <c r="X44"/>
      <c r="Y44"/>
      <c r="Z44"/>
    </row>
    <row r="45" spans="2:26">
      <c r="B45" s="3" t="s">
        <v>104</v>
      </c>
      <c r="C45" s="12">
        <v>-237</v>
      </c>
      <c r="D45" s="12">
        <v>98</v>
      </c>
      <c r="E45" s="12">
        <v>-57</v>
      </c>
      <c r="F45" s="12">
        <v>130</v>
      </c>
      <c r="G45" s="12">
        <v>57</v>
      </c>
      <c r="H45" s="36">
        <v>-87</v>
      </c>
      <c r="I45" s="36">
        <v>32</v>
      </c>
      <c r="J45" s="36">
        <v>36</v>
      </c>
      <c r="K45" s="36">
        <v>-35</v>
      </c>
      <c r="L45" s="12">
        <v>71</v>
      </c>
      <c r="M45" s="12">
        <v>-15</v>
      </c>
      <c r="N45" s="12">
        <v>77</v>
      </c>
      <c r="O45" s="12">
        <v>-33</v>
      </c>
      <c r="P45" s="12">
        <v>-26</v>
      </c>
      <c r="Q45" s="12">
        <v>-26</v>
      </c>
      <c r="R45" s="12">
        <v>4</v>
      </c>
      <c r="S45" s="12"/>
      <c r="T45"/>
      <c r="U45"/>
      <c r="V45"/>
      <c r="W45"/>
      <c r="X45"/>
      <c r="Y45"/>
      <c r="Z45"/>
    </row>
    <row r="46" spans="2:26">
      <c r="B46" s="3" t="s">
        <v>105</v>
      </c>
      <c r="C46" s="12">
        <v>3715</v>
      </c>
      <c r="D46" s="12">
        <v>2843</v>
      </c>
      <c r="E46" s="12">
        <v>2129</v>
      </c>
      <c r="F46" s="12">
        <v>2869</v>
      </c>
      <c r="G46" s="12">
        <v>1701</v>
      </c>
      <c r="H46" s="36">
        <v>2273</v>
      </c>
      <c r="I46" s="36">
        <v>1687</v>
      </c>
      <c r="J46" s="36">
        <v>2451</v>
      </c>
      <c r="K46" s="36">
        <v>2202</v>
      </c>
      <c r="L46" s="12">
        <v>1402</v>
      </c>
      <c r="M46" s="12">
        <v>850</v>
      </c>
      <c r="N46" s="12">
        <v>1284</v>
      </c>
      <c r="O46" s="12">
        <v>1764</v>
      </c>
      <c r="P46" s="12">
        <v>1616</v>
      </c>
      <c r="Q46" s="12">
        <v>1918</v>
      </c>
      <c r="R46" s="12">
        <v>2544</v>
      </c>
      <c r="S46" s="12"/>
      <c r="T46"/>
      <c r="U46"/>
      <c r="V46"/>
      <c r="W46"/>
      <c r="X46"/>
      <c r="Y46"/>
      <c r="Z46"/>
    </row>
    <row r="47" spans="2:26">
      <c r="C47" s="12"/>
      <c r="D47" s="12"/>
      <c r="E47" s="12"/>
      <c r="F47" s="12"/>
      <c r="G47" s="12"/>
      <c r="I47" s="27"/>
      <c r="J47" s="27"/>
      <c r="K47" s="27"/>
      <c r="L47" s="12"/>
      <c r="M47" s="12"/>
      <c r="N47" s="12"/>
      <c r="O47" s="12"/>
      <c r="P47" s="12"/>
      <c r="Q47" s="12"/>
      <c r="R47" s="12"/>
      <c r="S47" s="12"/>
      <c r="T47"/>
      <c r="U47"/>
      <c r="V47"/>
      <c r="W47"/>
      <c r="X47"/>
      <c r="Y47"/>
      <c r="Z47"/>
    </row>
    <row r="48" spans="2:26">
      <c r="B48" s="42"/>
      <c r="C48" s="42"/>
      <c r="D48" s="42"/>
      <c r="E48" s="42"/>
      <c r="F48" s="42"/>
      <c r="G48" s="47"/>
      <c r="H48" s="42"/>
      <c r="I48" s="28"/>
      <c r="J48" s="28"/>
      <c r="K48" s="2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2:26">
      <c r="B49" s="43"/>
      <c r="C49" s="43"/>
      <c r="D49" s="43"/>
      <c r="E49" s="43"/>
      <c r="F49" s="43"/>
      <c r="G49" s="49"/>
      <c r="H49" s="43"/>
      <c r="I49" s="28"/>
      <c r="J49" s="28"/>
      <c r="K49" s="28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2:26">
      <c r="B50" s="43"/>
      <c r="C50" s="43"/>
      <c r="D50" s="43"/>
      <c r="E50" s="43"/>
      <c r="F50" s="43"/>
      <c r="G50" s="49"/>
      <c r="H50" s="43"/>
      <c r="I50" s="28"/>
      <c r="J50" s="28"/>
      <c r="K50" s="28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2:26">
      <c r="I51" s="28"/>
      <c r="J51" s="28"/>
      <c r="K51" s="28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</sheetData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Key-Figures</vt:lpstr>
      <vt:lpstr>Income-statement</vt:lpstr>
      <vt:lpstr>Balance-sheet</vt:lpstr>
      <vt:lpstr>Cash-flows</vt:lpstr>
      <vt:lpstr>'Cash-flows'!Print_Area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Krés Andrei, Stockholm</dc:creator>
  <cp:lastModifiedBy>Kirakos Marall</cp:lastModifiedBy>
  <cp:lastPrinted>2017-03-15T10:59:27Z</cp:lastPrinted>
  <dcterms:created xsi:type="dcterms:W3CDTF">2014-02-17T17:40:02Z</dcterms:created>
  <dcterms:modified xsi:type="dcterms:W3CDTF">2026-02-04T15:53:28Z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